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hashemi\Desktop\8888\هزینه‌کرد\"/>
    </mc:Choice>
  </mc:AlternateContent>
  <xr:revisionPtr revIDLastSave="0" documentId="13_ncr:1_{8DD05534-7A0E-444E-A042-3F26941EC569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پرداختی1399" sheetId="1" r:id="rId1"/>
    <sheet name="پیش‌بینی1400" sheetId="4" r:id="rId2"/>
  </sheets>
  <definedNames>
    <definedName name="_xlnm.Print_Area" localSheetId="0">پرداختی1399!$B$1:$K$108</definedName>
    <definedName name="_xlnm.Print_Area" localSheetId="1">پیش‌بینی1400!$A$1:$G$99</definedName>
    <definedName name="_xlnm.Print_Titles" localSheetId="0">پرداختی1399!$1:$4</definedName>
    <definedName name="_xlnm.Print_Titles" localSheetId="1">پیش‌بینی1400!$1:$5</definedName>
  </definedNames>
  <calcPr calcId="191029"/>
</workbook>
</file>

<file path=xl/calcChain.xml><?xml version="1.0" encoding="utf-8"?>
<calcChain xmlns="http://schemas.openxmlformats.org/spreadsheetml/2006/main">
  <c r="E67" i="4" l="1"/>
  <c r="E9" i="4"/>
  <c r="E24" i="4"/>
  <c r="E23" i="4"/>
  <c r="D98" i="4" l="1"/>
  <c r="D97" i="4" s="1"/>
  <c r="D96" i="4" s="1"/>
  <c r="D88" i="4"/>
  <c r="D86" i="4"/>
  <c r="D84" i="4"/>
  <c r="D80" i="4"/>
  <c r="D68" i="4"/>
  <c r="D67" i="4"/>
  <c r="D64" i="4" s="1"/>
  <c r="D62" i="4"/>
  <c r="D60" i="4"/>
  <c r="D58" i="4"/>
  <c r="D55" i="4"/>
  <c r="D49" i="4"/>
  <c r="D45" i="4"/>
  <c r="D40" i="4"/>
  <c r="D35" i="4"/>
  <c r="D29" i="4"/>
  <c r="D24" i="4"/>
  <c r="D23" i="4"/>
  <c r="D22" i="4" s="1"/>
  <c r="D11" i="4"/>
  <c r="D9" i="4"/>
  <c r="D7" i="4" s="1"/>
  <c r="D6" i="4" s="1"/>
  <c r="D83" i="4" l="1"/>
  <c r="D21" i="4"/>
  <c r="D5" i="4" s="1"/>
  <c r="F95" i="1"/>
  <c r="F94" i="1"/>
  <c r="F16" i="1"/>
  <c r="G98" i="4"/>
  <c r="G97" i="4" s="1"/>
  <c r="G96" i="4" s="1"/>
  <c r="G86" i="4"/>
  <c r="G84" i="4" s="1"/>
  <c r="G67" i="4"/>
  <c r="G64" i="4" s="1"/>
  <c r="G24" i="4"/>
  <c r="G23" i="4"/>
  <c r="G22" i="4" s="1"/>
  <c r="G9" i="4"/>
  <c r="G7" i="4" s="1"/>
  <c r="G88" i="4"/>
  <c r="G80" i="4"/>
  <c r="G68" i="4"/>
  <c r="G62" i="4"/>
  <c r="G60" i="4"/>
  <c r="G58" i="4"/>
  <c r="G55" i="4"/>
  <c r="G49" i="4"/>
  <c r="G45" i="4"/>
  <c r="G40" i="4"/>
  <c r="G35" i="4"/>
  <c r="G29" i="4"/>
  <c r="G11" i="4"/>
  <c r="G83" i="4" l="1"/>
  <c r="G6" i="4"/>
  <c r="G21" i="4"/>
  <c r="G5" i="4" l="1"/>
  <c r="E12" i="4"/>
  <c r="E10" i="4"/>
  <c r="E8" i="4"/>
  <c r="E95" i="4"/>
  <c r="E94" i="4"/>
  <c r="E92" i="4"/>
  <c r="E91" i="4"/>
  <c r="E82" i="4"/>
  <c r="E81" i="4"/>
  <c r="E70" i="4"/>
  <c r="E72" i="4"/>
  <c r="E74" i="4"/>
  <c r="E75" i="4"/>
  <c r="E61" i="4"/>
  <c r="E59" i="4"/>
  <c r="E57" i="4"/>
  <c r="E56" i="4"/>
  <c r="E53" i="4"/>
  <c r="E52" i="4"/>
  <c r="E50" i="4"/>
  <c r="E48" i="4"/>
  <c r="E46" i="4"/>
  <c r="E47" i="4"/>
  <c r="E41" i="4"/>
  <c r="E43" i="4"/>
  <c r="E38" i="4"/>
  <c r="E26" i="4"/>
  <c r="E16" i="4"/>
  <c r="E18" i="4"/>
  <c r="E97" i="4" l="1"/>
  <c r="E96" i="4" l="1"/>
  <c r="E88" i="4"/>
  <c r="E84" i="4"/>
  <c r="E80" i="4"/>
  <c r="E68" i="4"/>
  <c r="E64" i="4"/>
  <c r="E62" i="4"/>
  <c r="E60" i="4"/>
  <c r="E58" i="4"/>
  <c r="E55" i="4"/>
  <c r="E49" i="4"/>
  <c r="E45" i="4"/>
  <c r="E40" i="4"/>
  <c r="E35" i="4"/>
  <c r="E29" i="4"/>
  <c r="E22" i="4"/>
  <c r="E83" i="4" l="1"/>
  <c r="E21" i="4"/>
  <c r="E11" i="4"/>
  <c r="E7" i="4"/>
  <c r="E6" i="4" l="1"/>
  <c r="E5" i="4" s="1"/>
  <c r="F50" i="1" l="1"/>
  <c r="F31" i="1"/>
  <c r="F72" i="1"/>
  <c r="F63" i="1"/>
  <c r="F32" i="1"/>
  <c r="F25" i="1"/>
  <c r="F74" i="1"/>
  <c r="F59" i="1"/>
  <c r="F44" i="1"/>
  <c r="F57" i="1"/>
  <c r="F75" i="1"/>
  <c r="F34" i="1" l="1"/>
  <c r="F39" i="1"/>
  <c r="F9" i="1" l="1"/>
  <c r="G10" i="1" l="1"/>
  <c r="F88" i="1" l="1"/>
  <c r="E19" i="1" l="1"/>
  <c r="E17" i="1"/>
  <c r="E14" i="1"/>
  <c r="E13" i="1"/>
  <c r="E15" i="1"/>
  <c r="E8" i="1"/>
  <c r="E86" i="1" l="1"/>
  <c r="E87" i="1"/>
  <c r="E85" i="1"/>
  <c r="E30" i="1"/>
  <c r="G91" i="1" l="1"/>
  <c r="G95" i="1"/>
  <c r="G94" i="1"/>
  <c r="F76" i="1" l="1"/>
  <c r="F49" i="1" l="1"/>
  <c r="F97" i="1" l="1"/>
  <c r="D97" i="1" l="1"/>
  <c r="H99" i="1"/>
  <c r="G99" i="1"/>
  <c r="F22" i="1" l="1"/>
  <c r="F7" i="1"/>
  <c r="E7" i="1" l="1"/>
  <c r="E29" i="1" l="1"/>
  <c r="E88" i="1" l="1"/>
  <c r="G16" i="1" l="1"/>
  <c r="H16" i="1" s="1"/>
  <c r="H10" i="1"/>
  <c r="G18" i="1" l="1"/>
  <c r="D60" i="1"/>
  <c r="G54" i="1" l="1"/>
  <c r="H54" i="1" s="1"/>
  <c r="D49" i="1"/>
  <c r="G77" i="1" l="1"/>
  <c r="H77" i="1" s="1"/>
  <c r="G79" i="1"/>
  <c r="H79" i="1" s="1"/>
  <c r="G61" i="1"/>
  <c r="F60" i="1"/>
  <c r="G60" i="1" l="1"/>
  <c r="H61" i="1"/>
  <c r="H60" i="1" s="1"/>
  <c r="F62" i="1"/>
  <c r="G62" i="1" s="1"/>
  <c r="D62" i="1"/>
  <c r="H98" i="1" l="1"/>
  <c r="H97" i="1" s="1"/>
  <c r="H91" i="1"/>
  <c r="H92" i="1"/>
  <c r="G20" i="1" l="1"/>
  <c r="H20" i="1" s="1"/>
  <c r="D7" i="1"/>
  <c r="E11" i="1" l="1"/>
  <c r="G89" i="1"/>
  <c r="H89" i="1" s="1"/>
  <c r="E6" i="1" l="1"/>
  <c r="G59" i="1"/>
  <c r="H59" i="1" s="1"/>
  <c r="H58" i="1" s="1"/>
  <c r="G50" i="1"/>
  <c r="H50" i="1" s="1"/>
  <c r="G90" i="1" l="1"/>
  <c r="H90" i="1" s="1"/>
  <c r="G93" i="1"/>
  <c r="H93" i="1" s="1"/>
  <c r="H94" i="1"/>
  <c r="H95" i="1" l="1"/>
  <c r="F68" i="1"/>
  <c r="H88" i="1" l="1"/>
  <c r="F29" i="1"/>
  <c r="G42" i="1" l="1"/>
  <c r="H42" i="1" s="1"/>
  <c r="G43" i="1"/>
  <c r="H43" i="1" s="1"/>
  <c r="F11" i="1"/>
  <c r="F6" i="1" s="1"/>
  <c r="H96" i="1" l="1"/>
  <c r="G78" i="1" l="1"/>
  <c r="H78" i="1" s="1"/>
  <c r="G33" i="1"/>
  <c r="H33" i="1" s="1"/>
  <c r="G34" i="1"/>
  <c r="H34" i="1" s="1"/>
  <c r="G31" i="1"/>
  <c r="H31" i="1" s="1"/>
  <c r="G47" i="1"/>
  <c r="H47" i="1" s="1"/>
  <c r="G48" i="1"/>
  <c r="H48" i="1" s="1"/>
  <c r="G46" i="1"/>
  <c r="H46" i="1" s="1"/>
  <c r="G44" i="1"/>
  <c r="H44" i="1" s="1"/>
  <c r="F35" i="1"/>
  <c r="H45" i="1" l="1"/>
  <c r="G45" i="1"/>
  <c r="D11" i="1"/>
  <c r="E21" i="1" l="1"/>
  <c r="G11" i="1"/>
  <c r="D96" i="1"/>
  <c r="D88" i="1"/>
  <c r="F84" i="1"/>
  <c r="E84" i="1"/>
  <c r="D84" i="1"/>
  <c r="F45" i="1"/>
  <c r="F40" i="1"/>
  <c r="F80" i="1"/>
  <c r="D80" i="1"/>
  <c r="D68" i="1"/>
  <c r="F64" i="1"/>
  <c r="D64" i="1"/>
  <c r="F58" i="1"/>
  <c r="D58" i="1"/>
  <c r="F55" i="1"/>
  <c r="D55" i="1"/>
  <c r="D40" i="1"/>
  <c r="D45" i="1"/>
  <c r="D35" i="1"/>
  <c r="D29" i="1"/>
  <c r="D22" i="1"/>
  <c r="F21" i="1" l="1"/>
  <c r="D21" i="1"/>
  <c r="D83" i="1"/>
  <c r="G27" i="1"/>
  <c r="H27" i="1" s="1"/>
  <c r="H18" i="1"/>
  <c r="G12" i="1"/>
  <c r="H12" i="1" s="1"/>
  <c r="G21" i="1" l="1"/>
  <c r="F96" i="1"/>
  <c r="G96" i="1" s="1"/>
  <c r="G98" i="1" l="1"/>
  <c r="G97" i="1" s="1"/>
  <c r="G87" i="1"/>
  <c r="H87" i="1" s="1"/>
  <c r="G86" i="1"/>
  <c r="H86" i="1" s="1"/>
  <c r="G85" i="1"/>
  <c r="H85" i="1" s="1"/>
  <c r="G82" i="1"/>
  <c r="H82" i="1" s="1"/>
  <c r="G81" i="1"/>
  <c r="H81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7" i="1"/>
  <c r="H67" i="1" s="1"/>
  <c r="G66" i="1"/>
  <c r="H66" i="1" s="1"/>
  <c r="G65" i="1"/>
  <c r="H65" i="1" s="1"/>
  <c r="G63" i="1"/>
  <c r="H63" i="1" s="1"/>
  <c r="H62" i="1" s="1"/>
  <c r="G57" i="1"/>
  <c r="H57" i="1" s="1"/>
  <c r="G56" i="1"/>
  <c r="H56" i="1" s="1"/>
  <c r="G53" i="1"/>
  <c r="H53" i="1" s="1"/>
  <c r="G52" i="1"/>
  <c r="H52" i="1" s="1"/>
  <c r="G51" i="1"/>
  <c r="H51" i="1" s="1"/>
  <c r="G41" i="1"/>
  <c r="H41" i="1" s="1"/>
  <c r="H40" i="1" s="1"/>
  <c r="G39" i="1"/>
  <c r="H39" i="1" s="1"/>
  <c r="G38" i="1"/>
  <c r="H38" i="1" s="1"/>
  <c r="G37" i="1"/>
  <c r="H37" i="1" s="1"/>
  <c r="G36" i="1"/>
  <c r="H36" i="1" s="1"/>
  <c r="G32" i="1"/>
  <c r="H32" i="1" s="1"/>
  <c r="G30" i="1"/>
  <c r="H30" i="1" s="1"/>
  <c r="G28" i="1"/>
  <c r="H28" i="1" s="1"/>
  <c r="G26" i="1"/>
  <c r="H26" i="1" s="1"/>
  <c r="G25" i="1"/>
  <c r="H25" i="1" s="1"/>
  <c r="G24" i="1"/>
  <c r="H24" i="1" s="1"/>
  <c r="G23" i="1"/>
  <c r="H23" i="1" s="1"/>
  <c r="G17" i="1"/>
  <c r="H17" i="1" s="1"/>
  <c r="G15" i="1"/>
  <c r="H15" i="1" s="1"/>
  <c r="G14" i="1"/>
  <c r="H14" i="1" s="1"/>
  <c r="G13" i="1"/>
  <c r="H13" i="1" s="1"/>
  <c r="G9" i="1"/>
  <c r="H9" i="1" s="1"/>
  <c r="G8" i="1"/>
  <c r="H8" i="1" s="1"/>
  <c r="H7" i="1" l="1"/>
  <c r="H49" i="1"/>
  <c r="H80" i="1"/>
  <c r="H22" i="1"/>
  <c r="H84" i="1"/>
  <c r="H83" i="1" s="1"/>
  <c r="H68" i="1"/>
  <c r="H55" i="1"/>
  <c r="H64" i="1"/>
  <c r="H29" i="1"/>
  <c r="H35" i="1"/>
  <c r="G55" i="1"/>
  <c r="G84" i="1"/>
  <c r="G7" i="1"/>
  <c r="G29" i="1"/>
  <c r="G88" i="1"/>
  <c r="G80" i="1"/>
  <c r="G68" i="1"/>
  <c r="G64" i="1"/>
  <c r="G49" i="1"/>
  <c r="G40" i="1"/>
  <c r="G35" i="1"/>
  <c r="G22" i="1"/>
  <c r="H21" i="1" l="1"/>
  <c r="G83" i="1"/>
  <c r="E83" i="1"/>
  <c r="E5" i="1" s="1"/>
  <c r="G19" i="1"/>
  <c r="H19" i="1" s="1"/>
  <c r="H11" i="1" s="1"/>
  <c r="D6" i="1" l="1"/>
  <c r="D5" i="1" s="1"/>
  <c r="F83" i="1"/>
  <c r="F5" i="1" l="1"/>
  <c r="L5" i="1" s="1"/>
  <c r="L6" i="1" s="1"/>
  <c r="L8" i="1" s="1"/>
  <c r="G6" i="1"/>
  <c r="G5" i="1" l="1"/>
  <c r="H6" i="1"/>
  <c r="G58" i="1"/>
  <c r="H5" i="1" l="1"/>
  <c r="K5" i="1"/>
</calcChain>
</file>

<file path=xl/sharedStrings.xml><?xml version="1.0" encoding="utf-8"?>
<sst xmlns="http://schemas.openxmlformats.org/spreadsheetml/2006/main" count="210" uniqueCount="114">
  <si>
    <t>شماره طبقه بندی هزینه</t>
  </si>
  <si>
    <t>شرح</t>
  </si>
  <si>
    <t>هزینه</t>
  </si>
  <si>
    <t>جمع هزینه</t>
  </si>
  <si>
    <t>پرداخت های غیر قطعی</t>
  </si>
  <si>
    <t>جمع کل</t>
  </si>
  <si>
    <t>جبران خدمات کارکنان</t>
  </si>
  <si>
    <t>حقوق و دستمزد</t>
  </si>
  <si>
    <t>حقوق ثابت/ مبنا كاركنان رسمی و پیمانی</t>
  </si>
  <si>
    <t xml:space="preserve"> فوق العاده‌ها و مزاياي شغل</t>
  </si>
  <si>
    <t>عیدی</t>
  </si>
  <si>
    <t xml:space="preserve"> كمك هزينه عائله‌مندي و اولاد</t>
  </si>
  <si>
    <t>فوق العاده شغل</t>
  </si>
  <si>
    <t xml:space="preserve">  اضافه كار و كشيك</t>
  </si>
  <si>
    <t xml:space="preserve">  فوق‌العاده ویژه</t>
  </si>
  <si>
    <t xml:space="preserve"> پاداش یک ماهه موضوع ماده (50) قانون برنامه پنجم توسعه</t>
  </si>
  <si>
    <t xml:space="preserve"> تفاوت تطبيق</t>
  </si>
  <si>
    <t xml:space="preserve"> استفاده از كالا ها وخدمات</t>
  </si>
  <si>
    <t xml:space="preserve"> ماموريت داخلی و خارجی</t>
  </si>
  <si>
    <t xml:space="preserve"> هزينه سفر</t>
  </si>
  <si>
    <t xml:space="preserve"> فوق العاده روزانه</t>
  </si>
  <si>
    <t xml:space="preserve"> كرايه وسائل نقليه</t>
  </si>
  <si>
    <t xml:space="preserve"> بهاي بليط مسافرت</t>
  </si>
  <si>
    <t xml:space="preserve"> عوارض خروج از كشور</t>
  </si>
  <si>
    <t>حق الزحمه انجام خدمات قراردادی</t>
  </si>
  <si>
    <t>خدمات قراردادی اشخاص</t>
  </si>
  <si>
    <t xml:space="preserve"> شرکت در جلسات</t>
  </si>
  <si>
    <t xml:space="preserve"> حمل ونقل وارتباطات</t>
  </si>
  <si>
    <t xml:space="preserve">  حمل كالا و اثاثه دولتي</t>
  </si>
  <si>
    <t xml:space="preserve"> حمل ونقل نامه ها و امانات پستی</t>
  </si>
  <si>
    <t xml:space="preserve">  تلفن و فاکس</t>
  </si>
  <si>
    <t xml:space="preserve">  ارتباطات ماهواره اي واينترنت</t>
  </si>
  <si>
    <t xml:space="preserve"> نگهداري وتعمير دارائي هاي ثابت</t>
  </si>
  <si>
    <t xml:space="preserve"> ساختمان و مستحدثات</t>
  </si>
  <si>
    <t xml:space="preserve"> ماشين آلات و تجهيزات (اعم از ساكن و متحرك) </t>
  </si>
  <si>
    <t xml:space="preserve"> وسائط نقليه</t>
  </si>
  <si>
    <t xml:space="preserve"> ساير دارائيهاي ثابت</t>
  </si>
  <si>
    <t>چاپ و خريد نشريات و مطبوعات</t>
  </si>
  <si>
    <t xml:space="preserve"> چاپ دفاتر و اوراق اداري</t>
  </si>
  <si>
    <t xml:space="preserve"> چاپ آگهي هاي اداري </t>
  </si>
  <si>
    <t xml:space="preserve"> خريد نشريات و مطبوعات</t>
  </si>
  <si>
    <t xml:space="preserve"> تصوير برداري وتبليغات</t>
  </si>
  <si>
    <t xml:space="preserve"> فيلمبرداري</t>
  </si>
  <si>
    <t xml:space="preserve"> تشريفات</t>
  </si>
  <si>
    <t xml:space="preserve"> هزينه پذيرائي</t>
  </si>
  <si>
    <t xml:space="preserve"> هزينه های بانكي</t>
  </si>
  <si>
    <t xml:space="preserve"> خريد دسته چك و سفته</t>
  </si>
  <si>
    <t xml:space="preserve"> آب و برق و سوخت</t>
  </si>
  <si>
    <t xml:space="preserve"> آب (آشاميدني وتصفيه نشده)</t>
  </si>
  <si>
    <t xml:space="preserve"> برق</t>
  </si>
  <si>
    <t xml:space="preserve"> مواد و لوازم مصرف شدني</t>
  </si>
  <si>
    <t xml:space="preserve"> لوازم خواب و پوشاك</t>
  </si>
  <si>
    <t xml:space="preserve"> هزينه هاي مطالعاتي و تحقيقاتي</t>
  </si>
  <si>
    <t>رفاه اجتماعي</t>
  </si>
  <si>
    <t xml:space="preserve"> بيمه و بازنشستگی</t>
  </si>
  <si>
    <t>بازنشستگی سهم دولت (کارفرما)</t>
  </si>
  <si>
    <t>حق بیمه سهم کارفرمایی مشمولین قانون تامین اجتماعی</t>
  </si>
  <si>
    <t xml:space="preserve"> كمك‌هاي رفاهي كارمندان دولت</t>
  </si>
  <si>
    <t xml:space="preserve"> كمك هزينه غذا</t>
  </si>
  <si>
    <t xml:space="preserve"> كمك هزينه ایاب و ذهاب</t>
  </si>
  <si>
    <t xml:space="preserve">  کمک هزینه ازدواج</t>
  </si>
  <si>
    <t>ساير هزينه ها</t>
  </si>
  <si>
    <t xml:space="preserve"> سایر هزینه های متفرقه</t>
  </si>
  <si>
    <t xml:space="preserve"> دیون و تعهدات مربوط به بیمه و بازنشستگی</t>
  </si>
  <si>
    <t xml:space="preserve"> حقوق و دستمزد مامورین و سربازان وظیفه شاغل </t>
  </si>
  <si>
    <t xml:space="preserve"> هزينه خدمات تبليغاتي(خطاطي، نقاشي و .</t>
  </si>
  <si>
    <t xml:space="preserve"> مصالح ساختماني ( گچ، آجر...</t>
  </si>
  <si>
    <t xml:space="preserve"> ابزار و يراق( كليد،قفل،دستگيره،.....</t>
  </si>
  <si>
    <t xml:space="preserve"> لوازم سرويسهاي بهداشتي(شيرآب</t>
  </si>
  <si>
    <t xml:space="preserve"> مواد شوينده(صابون،مايع دستشویي،</t>
  </si>
  <si>
    <t xml:space="preserve"> لوازم يدكي ( مربوط به وسائط نقليه</t>
  </si>
  <si>
    <t xml:space="preserve"> دارو و لوازم مصرفي پزشكي ، دندانپز</t>
  </si>
  <si>
    <t xml:space="preserve"> هزينه برگزاري سمينارها و جلسات </t>
  </si>
  <si>
    <t xml:space="preserve"> خريد كتاب، نشريات، نرم افزارهاي </t>
  </si>
  <si>
    <t xml:space="preserve"> هزينه روادید</t>
  </si>
  <si>
    <t>اجرای برنامه های آموزشی،فرهنگی</t>
  </si>
  <si>
    <t>اضافه کار و پرداختهای مستمر کارکنان قراردادی</t>
  </si>
  <si>
    <t>قرارداد خدمات پشتیبانی</t>
  </si>
  <si>
    <t>لوازم  اداری</t>
  </si>
  <si>
    <t>لوازم سرمایش و گرمایش</t>
  </si>
  <si>
    <t>رایانه و لوازم جانبی</t>
  </si>
  <si>
    <t>نگهداری و تعمیر وسایل اداری</t>
  </si>
  <si>
    <t>بیمه خدمات درمانی شاغلین (سهم دستگاه اجرایی)</t>
  </si>
  <si>
    <t>کمک رفاهی نیروهای قراردادی</t>
  </si>
  <si>
    <t>سایر کمک های رفاهی کارمندان رسمی و پیمانی</t>
  </si>
  <si>
    <t>لوازم و ظروف مصرفی آبدارخانه</t>
  </si>
  <si>
    <t>لوازم مصرفی اداری</t>
  </si>
  <si>
    <t>فوق‌العاده ایثارگری و ماده51</t>
  </si>
  <si>
    <t>سایر فصل یک</t>
  </si>
  <si>
    <t>مجموع عملکرد قطعی و غیرقطعی</t>
  </si>
  <si>
    <t>ذخیره مرخصی کارکنان رسمی و پیمانی</t>
  </si>
  <si>
    <t>مانده نسبت به ابلاغی</t>
  </si>
  <si>
    <t xml:space="preserve"> چاپ نشريات ومطبوعات</t>
  </si>
  <si>
    <t>پاداش پایان خدمت</t>
  </si>
  <si>
    <t>هزینه کارکنان فوت‌شده شامل حمل جنازه، کفن و دفن و مراسم ترحیم</t>
  </si>
  <si>
    <t>لوازم اداری( كاغذ ، مقواو لوازم التحرير)</t>
  </si>
  <si>
    <r>
      <t xml:space="preserve">هزینه </t>
    </r>
    <r>
      <rPr>
        <sz val="16"/>
        <color theme="1"/>
        <rFont val="B Nazanin"/>
        <charset val="178"/>
      </rPr>
      <t>های قضائی، ثبتی و حقوقی</t>
    </r>
  </si>
  <si>
    <t>حق الوکاله</t>
  </si>
  <si>
    <t>لوازم مصرفي رايانه ها</t>
  </si>
  <si>
    <t>خرید دفاتر و اوراق اداری</t>
  </si>
  <si>
    <t xml:space="preserve"> سوختهاي فسيلي ( نفت سفيد، بنزين، گازوئيل، گاز، نفت كوره)</t>
  </si>
  <si>
    <t>بیمه وسایط نقلیه و ساختمان و تجهیزات</t>
  </si>
  <si>
    <t>تنخواه گردان/پیش پرداخت/علی‌الحساب</t>
  </si>
  <si>
    <t>کارت هدیه</t>
  </si>
  <si>
    <t xml:space="preserve">سایر  </t>
  </si>
  <si>
    <t xml:space="preserve">بند "و" </t>
  </si>
  <si>
    <t>اعتبار مصوب طبق آخریناصلاحیه موافقتنامه1399</t>
  </si>
  <si>
    <t>گزارش عملکرد  از محل اعتبارات هزینه‌ای سال 1399</t>
  </si>
  <si>
    <t>حق الوکاله و حق المشاوره</t>
  </si>
  <si>
    <t>بیمه وسایط نقلیه و ساختمان و تجهیزات(پرداخت انتقالی غیر پرسنلی)</t>
  </si>
  <si>
    <t>اعتبار مصوب طبق لایحه 1400</t>
  </si>
  <si>
    <t xml:space="preserve"> پیش‌بینی اعتبار  بر اساس هزینه‌کرد    1399</t>
  </si>
  <si>
    <t>عملکرد 1399</t>
  </si>
  <si>
    <t>هزینه‌کرد1399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</si>
</sst>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78"/>
      <scheme val="minor"/>
    </font>
    <font>
      <sz val="14"/>
      <color theme="1"/>
      <name val="Calibri"/>
      <family val="2"/>
      <charset val="178"/>
      <scheme val="minor"/>
    </font>
    <font>
      <b/>
      <sz val="16"/>
      <color theme="1"/>
      <name val="B Nazanin"/>
      <charset val="178"/>
    </font>
    <font>
      <sz val="12"/>
      <color theme="1"/>
      <name val="Calibri"/>
      <family val="2"/>
      <charset val="178"/>
      <scheme val="minor"/>
    </font>
    <font>
      <b/>
      <sz val="14"/>
      <color theme="1"/>
      <name val="B Nazanin"/>
      <charset val="178"/>
    </font>
    <font>
      <sz val="11"/>
      <color theme="1"/>
      <name val="Calibri"/>
      <family val="2"/>
      <charset val="178"/>
      <scheme val="minor"/>
    </font>
    <font>
      <b/>
      <sz val="16"/>
      <name val="B Nazanin"/>
      <charset val="178"/>
    </font>
    <font>
      <b/>
      <sz val="16"/>
      <color rgb="FFFF0000"/>
      <name val="B Nazanin"/>
      <charset val="178"/>
    </font>
    <font>
      <sz val="16"/>
      <color theme="1"/>
      <name val="B Nazanin"/>
      <charset val="178"/>
    </font>
    <font>
      <b/>
      <sz val="16"/>
      <color theme="1"/>
      <name val="B Titr"/>
      <charset val="17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B Mitra"/>
      <charset val="178"/>
    </font>
    <font>
      <b/>
      <sz val="16"/>
      <color rgb="FFC00000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0" fillId="0" borderId="0"/>
  </cellStyleXfs>
  <cellXfs count="81">
    <xf numFmtId="0" fontId="0" fillId="0" borderId="0" xfId="0"/>
    <xf numFmtId="0" fontId="3" fillId="0" borderId="0" xfId="0" applyFont="1" applyBorder="1"/>
    <xf numFmtId="0" fontId="0" fillId="0" borderId="0" xfId="0" applyBorder="1"/>
    <xf numFmtId="0" fontId="1" fillId="0" borderId="0" xfId="0" applyFont="1" applyAlignment="1">
      <alignment horizontal="right" indent="1"/>
    </xf>
    <xf numFmtId="0" fontId="1" fillId="0" borderId="0" xfId="0" applyFont="1"/>
    <xf numFmtId="0" fontId="3" fillId="4" borderId="0" xfId="0" applyFont="1" applyFill="1" applyBorder="1"/>
    <xf numFmtId="9" fontId="0" fillId="0" borderId="0" xfId="1" applyFont="1"/>
    <xf numFmtId="9" fontId="1" fillId="0" borderId="0" xfId="1" applyFont="1"/>
    <xf numFmtId="9" fontId="1" fillId="0" borderId="0" xfId="1" applyFont="1" applyAlignment="1">
      <alignment horizontal="right" indent="1"/>
    </xf>
    <xf numFmtId="3" fontId="1" fillId="0" borderId="0" xfId="0" applyNumberFormat="1" applyFont="1"/>
    <xf numFmtId="3" fontId="0" fillId="0" borderId="0" xfId="0" applyNumberFormat="1"/>
    <xf numFmtId="3" fontId="1" fillId="0" borderId="0" xfId="0" applyNumberFormat="1" applyFont="1" applyAlignment="1">
      <alignment horizontal="right" indent="1"/>
    </xf>
    <xf numFmtId="3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readingOrder="2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 readingOrder="2"/>
    </xf>
    <xf numFmtId="3" fontId="2" fillId="3" borderId="1" xfId="0" applyNumberFormat="1" applyFont="1" applyFill="1" applyBorder="1" applyAlignment="1">
      <alignment horizontal="center" vertical="center" wrapText="1" readingOrder="2"/>
    </xf>
    <xf numFmtId="3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center" indent="1"/>
    </xf>
    <xf numFmtId="0" fontId="2" fillId="4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readingOrder="2"/>
    </xf>
    <xf numFmtId="3" fontId="2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readingOrder="2"/>
    </xf>
    <xf numFmtId="3" fontId="6" fillId="3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/>
    <xf numFmtId="3" fontId="6" fillId="4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/>
    <xf numFmtId="4" fontId="0" fillId="0" borderId="0" xfId="0" applyNumberFormat="1"/>
    <xf numFmtId="3" fontId="0" fillId="0" borderId="0" xfId="0" applyNumberFormat="1" applyBorder="1"/>
    <xf numFmtId="3" fontId="1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 readingOrder="2"/>
    </xf>
    <xf numFmtId="3" fontId="3" fillId="4" borderId="0" xfId="0" applyNumberFormat="1" applyFont="1" applyFill="1" applyBorder="1"/>
    <xf numFmtId="0" fontId="2" fillId="0" borderId="1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0" fontId="3" fillId="0" borderId="0" xfId="0" applyFont="1"/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F74A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23813</xdr:colOff>
      <xdr:row>99</xdr:row>
      <xdr:rowOff>83343</xdr:rowOff>
    </xdr:from>
    <xdr:to>
      <xdr:col>11</xdr:col>
      <xdr:colOff>11906</xdr:colOff>
      <xdr:row>105</xdr:row>
      <xdr:rowOff>59531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588C62-F56A-470E-AD23-CA0F37C95017}"/>
            </a:ext>
          </a:extLst>
        </xdr:cNvPr>
        <xdr:cNvSpPr txBox="1"/>
      </xdr:nvSpPr>
      <xdr:spPr>
        <a:xfrm>
          <a:off x="11309734969" y="38064281"/>
          <a:ext cx="19704843" cy="11072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fa-IR" sz="1400">
              <a:cs typeface="B Titr" panose="00000700000000000000" pitchFamily="2" charset="-78"/>
            </a:rPr>
            <a:t>کارشناس حقوق دستمزد                                                                                                            کارشناس دریافت</a:t>
          </a:r>
          <a:r>
            <a:rPr lang="fa-IR" sz="1400" baseline="0">
              <a:cs typeface="B Titr" panose="00000700000000000000" pitchFamily="2" charset="-78"/>
            </a:rPr>
            <a:t> پرداخت                                                                                                                                ذیحساب و مدیر امور مالی</a:t>
          </a:r>
        </a:p>
        <a:p>
          <a:pPr algn="ctr" rtl="1"/>
          <a:r>
            <a:rPr lang="fa-IR" sz="1400">
              <a:cs typeface="B Titr" panose="00000700000000000000" pitchFamily="2" charset="-78"/>
            </a:rPr>
            <a:t>  </a:t>
          </a:r>
        </a:p>
        <a:p>
          <a:pPr algn="r" rtl="1"/>
          <a:r>
            <a:rPr lang="fa-IR" sz="1400">
              <a:cs typeface="B Titr" panose="00000700000000000000" pitchFamily="2" charset="-78"/>
            </a:rPr>
            <a:t>                                                                                                           لیلا قائمی                                                                                                                                        فرهاد</a:t>
          </a:r>
          <a:r>
            <a:rPr lang="fa-IR" sz="1400" baseline="0">
              <a:cs typeface="B Titr" panose="00000700000000000000" pitchFamily="2" charset="-78"/>
            </a:rPr>
            <a:t> حیدران                                                                                                                                               سید فخرالدین علوی</a:t>
          </a:r>
          <a:endParaRPr lang="fa-IR" sz="1400">
            <a:cs typeface="B Titr" panose="000007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8"/>
  <sheetViews>
    <sheetView rightToLeft="1" topLeftCell="D1" zoomScale="80" zoomScaleNormal="80" workbookViewId="0">
      <selection activeCell="G5" sqref="G5:G99"/>
    </sheetView>
  </sheetViews>
  <sheetFormatPr defaultRowHeight="15" x14ac:dyDescent="0.25"/>
  <cols>
    <col min="1" max="1" width="5.28515625" style="6" customWidth="1"/>
    <col min="2" max="2" width="10.140625" bestFit="1" customWidth="1"/>
    <col min="3" max="3" width="56.7109375" bestFit="1" customWidth="1"/>
    <col min="4" max="4" width="18.85546875" customWidth="1"/>
    <col min="5" max="5" width="21.140625" bestFit="1" customWidth="1"/>
    <col min="6" max="6" width="23.7109375" customWidth="1"/>
    <col min="7" max="7" width="22.140625" bestFit="1" customWidth="1"/>
    <col min="8" max="8" width="32.7109375" customWidth="1"/>
    <col min="9" max="10" width="23.5703125" customWidth="1"/>
    <col min="11" max="11" width="26" bestFit="1" customWidth="1"/>
    <col min="12" max="12" width="31.5703125" bestFit="1" customWidth="1"/>
    <col min="13" max="13" width="28.140625" bestFit="1" customWidth="1"/>
  </cols>
  <sheetData>
    <row r="1" spans="1:12" ht="38.25" customHeight="1" x14ac:dyDescent="0.25">
      <c r="B1" s="68" t="s">
        <v>107</v>
      </c>
      <c r="C1" s="69"/>
      <c r="D1" s="69"/>
      <c r="E1" s="69"/>
      <c r="F1" s="69"/>
      <c r="G1" s="69"/>
      <c r="H1" s="69"/>
      <c r="I1" s="69"/>
      <c r="J1" s="69"/>
      <c r="K1" s="70"/>
      <c r="L1" s="10"/>
    </row>
    <row r="2" spans="1:12" ht="38.25" customHeight="1" x14ac:dyDescent="0.25">
      <c r="B2" s="71"/>
      <c r="C2" s="72"/>
      <c r="D2" s="72"/>
      <c r="E2" s="72"/>
      <c r="F2" s="72"/>
      <c r="G2" s="72"/>
      <c r="H2" s="72"/>
      <c r="I2" s="72"/>
      <c r="J2" s="72"/>
      <c r="K2" s="73"/>
      <c r="L2" s="10"/>
    </row>
    <row r="3" spans="1:12" ht="48" customHeight="1" x14ac:dyDescent="0.25">
      <c r="B3" s="77" t="s">
        <v>0</v>
      </c>
      <c r="C3" s="74" t="s">
        <v>1</v>
      </c>
      <c r="D3" s="74" t="s">
        <v>106</v>
      </c>
      <c r="E3" s="76" t="s">
        <v>2</v>
      </c>
      <c r="F3" s="76"/>
      <c r="G3" s="76"/>
      <c r="H3" s="74" t="s">
        <v>91</v>
      </c>
      <c r="I3" s="13" t="s">
        <v>4</v>
      </c>
      <c r="J3" s="74" t="s">
        <v>103</v>
      </c>
      <c r="K3" s="74" t="s">
        <v>89</v>
      </c>
      <c r="L3" s="10"/>
    </row>
    <row r="4" spans="1:12" ht="54" customHeight="1" x14ac:dyDescent="0.25">
      <c r="B4" s="78"/>
      <c r="C4" s="75"/>
      <c r="D4" s="75"/>
      <c r="E4" s="13" t="s">
        <v>105</v>
      </c>
      <c r="F4" s="36" t="s">
        <v>104</v>
      </c>
      <c r="G4" s="13" t="s">
        <v>3</v>
      </c>
      <c r="H4" s="75"/>
      <c r="I4" s="13" t="s">
        <v>102</v>
      </c>
      <c r="J4" s="80"/>
      <c r="K4" s="75"/>
      <c r="L4" s="10"/>
    </row>
    <row r="5" spans="1:12" s="4" customFormat="1" ht="26.25" customHeight="1" x14ac:dyDescent="0.3">
      <c r="A5" s="7"/>
      <c r="B5" s="79"/>
      <c r="C5" s="14" t="s">
        <v>5</v>
      </c>
      <c r="D5" s="12">
        <f>D6+D21+D83+D96</f>
        <v>124199000000</v>
      </c>
      <c r="E5" s="12">
        <f>E6+E21+E83</f>
        <v>31935321807</v>
      </c>
      <c r="F5" s="48">
        <f>F6+F21+F83+F96</f>
        <v>80867251970</v>
      </c>
      <c r="G5" s="12">
        <f>G6+G21+G83+G96</f>
        <v>112802573777</v>
      </c>
      <c r="H5" s="12">
        <f>D5-G5</f>
        <v>11396426223</v>
      </c>
      <c r="I5" s="12">
        <v>0</v>
      </c>
      <c r="J5" s="12">
        <v>0</v>
      </c>
      <c r="K5" s="12">
        <f>G5+I5+J5</f>
        <v>112802573777</v>
      </c>
      <c r="L5" s="9">
        <f>F5+E5</f>
        <v>112802573777</v>
      </c>
    </row>
    <row r="6" spans="1:12" s="4" customFormat="1" ht="33.75" customHeight="1" x14ac:dyDescent="0.65">
      <c r="A6" s="7"/>
      <c r="B6" s="15">
        <v>10000</v>
      </c>
      <c r="C6" s="16" t="s">
        <v>6</v>
      </c>
      <c r="D6" s="17">
        <f>D7+D11</f>
        <v>39869000000</v>
      </c>
      <c r="E6" s="17">
        <f>E7+E11</f>
        <v>23178569168</v>
      </c>
      <c r="F6" s="49">
        <f>F7+F11</f>
        <v>10084025583</v>
      </c>
      <c r="G6" s="17">
        <f>E6+F6</f>
        <v>33262594751</v>
      </c>
      <c r="H6" s="17">
        <f>D6-G6</f>
        <v>6606405249</v>
      </c>
      <c r="I6" s="17"/>
      <c r="J6" s="17"/>
      <c r="K6" s="17"/>
      <c r="L6" s="9">
        <f>L5+I5</f>
        <v>112802573777</v>
      </c>
    </row>
    <row r="7" spans="1:12" s="4" customFormat="1" ht="29.25" customHeight="1" x14ac:dyDescent="0.65">
      <c r="A7" s="7"/>
      <c r="B7" s="18">
        <v>10100</v>
      </c>
      <c r="C7" s="19" t="s">
        <v>7</v>
      </c>
      <c r="D7" s="20">
        <f>D8+D9+D10</f>
        <v>17235000000</v>
      </c>
      <c r="E7" s="20">
        <f>E8+E9</f>
        <v>12163840678</v>
      </c>
      <c r="F7" s="50">
        <f>F8+F9+F10</f>
        <v>261057269</v>
      </c>
      <c r="G7" s="20">
        <f>G8+G9</f>
        <v>12181716123</v>
      </c>
      <c r="H7" s="20">
        <f>H8+H9+H10</f>
        <v>4810102053</v>
      </c>
      <c r="I7" s="20"/>
      <c r="J7" s="20"/>
      <c r="K7" s="20"/>
      <c r="L7" s="60">
        <v>113857195512</v>
      </c>
    </row>
    <row r="8" spans="1:12" s="4" customFormat="1" ht="26.25" x14ac:dyDescent="0.3">
      <c r="A8" s="7"/>
      <c r="B8" s="13">
        <v>10101</v>
      </c>
      <c r="C8" s="13" t="s">
        <v>8</v>
      </c>
      <c r="D8" s="21">
        <v>12750000000</v>
      </c>
      <c r="E8" s="21">
        <f>11019171560+1144669118</f>
        <v>12163840678</v>
      </c>
      <c r="F8" s="21">
        <v>0</v>
      </c>
      <c r="G8" s="21">
        <f>E8+F8</f>
        <v>12163840678</v>
      </c>
      <c r="H8" s="21">
        <f>D8-G8</f>
        <v>586159322</v>
      </c>
      <c r="I8" s="21"/>
      <c r="J8" s="21"/>
      <c r="K8" s="21"/>
      <c r="L8" s="9">
        <f>L7-L6</f>
        <v>1054621735</v>
      </c>
    </row>
    <row r="9" spans="1:12" s="4" customFormat="1" ht="26.25" x14ac:dyDescent="0.3">
      <c r="A9" s="7"/>
      <c r="B9" s="13">
        <v>10102</v>
      </c>
      <c r="C9" s="13" t="s">
        <v>64</v>
      </c>
      <c r="D9" s="21">
        <v>4125000000</v>
      </c>
      <c r="E9" s="21">
        <v>0</v>
      </c>
      <c r="F9" s="41">
        <f>86202550-68327105</f>
        <v>17875445</v>
      </c>
      <c r="G9" s="21">
        <f>F9+E9</f>
        <v>17875445</v>
      </c>
      <c r="H9" s="21">
        <f>D9-G9</f>
        <v>4107124555</v>
      </c>
      <c r="I9" s="21"/>
      <c r="J9" s="21"/>
      <c r="K9" s="21"/>
      <c r="L9" s="9"/>
    </row>
    <row r="10" spans="1:12" s="4" customFormat="1" ht="26.25" x14ac:dyDescent="0.3">
      <c r="A10" s="7"/>
      <c r="B10" s="40">
        <v>10103</v>
      </c>
      <c r="C10" s="40" t="s">
        <v>90</v>
      </c>
      <c r="D10" s="21">
        <v>360000000</v>
      </c>
      <c r="E10" s="21">
        <v>0</v>
      </c>
      <c r="F10" s="41">
        <v>243181824</v>
      </c>
      <c r="G10" s="21">
        <f>F10</f>
        <v>243181824</v>
      </c>
      <c r="H10" s="21">
        <f>D10-G10</f>
        <v>116818176</v>
      </c>
      <c r="I10" s="21"/>
      <c r="J10" s="21"/>
      <c r="K10" s="21"/>
      <c r="L10" s="9"/>
    </row>
    <row r="11" spans="1:12" s="4" customFormat="1" ht="33.75" customHeight="1" x14ac:dyDescent="0.65">
      <c r="A11" s="7"/>
      <c r="B11" s="18">
        <v>10200</v>
      </c>
      <c r="C11" s="19" t="s">
        <v>9</v>
      </c>
      <c r="D11" s="20">
        <f>SUM(D12:D19)</f>
        <v>22634000000</v>
      </c>
      <c r="E11" s="20">
        <f>SUM(E12:E20)</f>
        <v>11014728490</v>
      </c>
      <c r="F11" s="50">
        <f>SUM(F12:F20)</f>
        <v>9822968314</v>
      </c>
      <c r="G11" s="20">
        <f t="shared" ref="G11:G15" si="0">E11+F11</f>
        <v>20837696804</v>
      </c>
      <c r="H11" s="20">
        <f>SUM(H12:H20)</f>
        <v>1796303196</v>
      </c>
      <c r="I11" s="20"/>
      <c r="J11" s="20"/>
      <c r="K11" s="20"/>
      <c r="L11" s="9"/>
    </row>
    <row r="12" spans="1:12" s="4" customFormat="1" ht="26.25" x14ac:dyDescent="0.3">
      <c r="A12" s="7"/>
      <c r="B12" s="13">
        <v>10201</v>
      </c>
      <c r="C12" s="13" t="s">
        <v>10</v>
      </c>
      <c r="D12" s="21">
        <v>520000000</v>
      </c>
      <c r="E12" s="21">
        <v>481250000</v>
      </c>
      <c r="F12" s="21">
        <v>0</v>
      </c>
      <c r="G12" s="21">
        <f t="shared" si="0"/>
        <v>481250000</v>
      </c>
      <c r="H12" s="45">
        <f>D12-G12</f>
        <v>38750000</v>
      </c>
      <c r="I12" s="21"/>
      <c r="J12" s="21"/>
      <c r="K12" s="21"/>
      <c r="L12" s="9"/>
    </row>
    <row r="13" spans="1:12" s="4" customFormat="1" ht="26.25" x14ac:dyDescent="0.3">
      <c r="A13" s="7"/>
      <c r="B13" s="13">
        <v>10202</v>
      </c>
      <c r="C13" s="13" t="s">
        <v>87</v>
      </c>
      <c r="D13" s="21">
        <v>320000000</v>
      </c>
      <c r="E13" s="21">
        <f>189758625+21786750</f>
        <v>211545375</v>
      </c>
      <c r="F13" s="21">
        <v>0</v>
      </c>
      <c r="G13" s="21">
        <f t="shared" si="0"/>
        <v>211545375</v>
      </c>
      <c r="H13" s="21">
        <f>D13-G13</f>
        <v>108454625</v>
      </c>
      <c r="I13" s="21"/>
      <c r="J13" s="21"/>
      <c r="K13" s="21"/>
    </row>
    <row r="14" spans="1:12" s="4" customFormat="1" ht="26.25" x14ac:dyDescent="0.3">
      <c r="A14" s="7"/>
      <c r="B14" s="13">
        <v>10203</v>
      </c>
      <c r="C14" s="13" t="s">
        <v>11</v>
      </c>
      <c r="D14" s="21">
        <v>450000000</v>
      </c>
      <c r="E14" s="21">
        <f>421125348+39239610</f>
        <v>460364958</v>
      </c>
      <c r="F14" s="21">
        <v>0</v>
      </c>
      <c r="G14" s="21">
        <f t="shared" si="0"/>
        <v>460364958</v>
      </c>
      <c r="H14" s="21">
        <f>D14-G14</f>
        <v>-10364958</v>
      </c>
      <c r="I14" s="21"/>
      <c r="J14" s="21"/>
      <c r="K14" s="21"/>
      <c r="L14" s="9"/>
    </row>
    <row r="15" spans="1:12" s="4" customFormat="1" ht="26.25" x14ac:dyDescent="0.3">
      <c r="A15" s="7"/>
      <c r="B15" s="13">
        <v>10204</v>
      </c>
      <c r="C15" s="13" t="s">
        <v>12</v>
      </c>
      <c r="D15" s="21">
        <v>3060000000</v>
      </c>
      <c r="E15" s="21">
        <f>2171009541+233316600</f>
        <v>2404326141</v>
      </c>
      <c r="F15" s="21">
        <v>0</v>
      </c>
      <c r="G15" s="21">
        <f t="shared" si="0"/>
        <v>2404326141</v>
      </c>
      <c r="H15" s="21">
        <f>D15-G15</f>
        <v>655673859</v>
      </c>
      <c r="I15" s="21"/>
      <c r="J15" s="21"/>
      <c r="K15" s="21"/>
      <c r="L15" s="9"/>
    </row>
    <row r="16" spans="1:12" s="4" customFormat="1" ht="26.25" x14ac:dyDescent="0.3">
      <c r="A16" s="7"/>
      <c r="B16" s="13">
        <v>10206</v>
      </c>
      <c r="C16" s="13" t="s">
        <v>13</v>
      </c>
      <c r="D16" s="21">
        <v>7220000000</v>
      </c>
      <c r="E16" s="21">
        <v>0</v>
      </c>
      <c r="F16" s="21">
        <f>8040873173</f>
        <v>8040873173</v>
      </c>
      <c r="G16" s="21">
        <f>F16+E16</f>
        <v>8040873173</v>
      </c>
      <c r="H16" s="21">
        <f>D16-G16</f>
        <v>-820873173</v>
      </c>
      <c r="I16" s="21"/>
      <c r="J16" s="21"/>
      <c r="K16" s="21"/>
      <c r="L16" s="9"/>
    </row>
    <row r="17" spans="1:12" s="4" customFormat="1" ht="26.25" x14ac:dyDescent="0.3">
      <c r="A17" s="7"/>
      <c r="B17" s="13">
        <v>10207</v>
      </c>
      <c r="C17" s="13" t="s">
        <v>14</v>
      </c>
      <c r="D17" s="21">
        <v>8664000000</v>
      </c>
      <c r="E17" s="21">
        <f>6652421245+695392609</f>
        <v>7347813854</v>
      </c>
      <c r="F17" s="21">
        <v>0</v>
      </c>
      <c r="G17" s="21">
        <f>E17+F17</f>
        <v>7347813854</v>
      </c>
      <c r="H17" s="21">
        <f t="shared" ref="H17:H20" si="1">D17-G17</f>
        <v>1316186146</v>
      </c>
      <c r="I17" s="21"/>
      <c r="J17" s="21"/>
      <c r="K17" s="21"/>
      <c r="L17" s="9"/>
    </row>
    <row r="18" spans="1:12" s="4" customFormat="1" ht="52.5" x14ac:dyDescent="0.3">
      <c r="A18" s="7"/>
      <c r="B18" s="13">
        <v>10208</v>
      </c>
      <c r="C18" s="22" t="s">
        <v>15</v>
      </c>
      <c r="D18" s="23">
        <v>2250000000</v>
      </c>
      <c r="E18" s="21">
        <v>0</v>
      </c>
      <c r="F18" s="21">
        <v>1782095141</v>
      </c>
      <c r="G18" s="21">
        <f>E18+F18</f>
        <v>1782095141</v>
      </c>
      <c r="H18" s="21">
        <f t="shared" si="1"/>
        <v>467904859</v>
      </c>
      <c r="I18" s="25"/>
      <c r="J18" s="25"/>
      <c r="K18" s="25"/>
      <c r="L18" s="9"/>
    </row>
    <row r="19" spans="1:12" s="4" customFormat="1" ht="26.25" x14ac:dyDescent="0.3">
      <c r="A19" s="7"/>
      <c r="B19" s="13">
        <v>10209</v>
      </c>
      <c r="C19" s="22" t="s">
        <v>16</v>
      </c>
      <c r="D19" s="23">
        <v>150000000</v>
      </c>
      <c r="E19" s="21">
        <f>100390131+9038031</f>
        <v>109428162</v>
      </c>
      <c r="F19" s="21">
        <v>0</v>
      </c>
      <c r="G19" s="24">
        <f>E19+F19</f>
        <v>109428162</v>
      </c>
      <c r="H19" s="21">
        <f t="shared" si="1"/>
        <v>40571838</v>
      </c>
      <c r="I19" s="25"/>
      <c r="J19" s="25"/>
      <c r="K19" s="25"/>
      <c r="L19" s="9"/>
    </row>
    <row r="20" spans="1:12" s="4" customFormat="1" ht="26.25" x14ac:dyDescent="0.3">
      <c r="A20" s="7"/>
      <c r="B20" s="13">
        <v>10213</v>
      </c>
      <c r="C20" s="44" t="s">
        <v>88</v>
      </c>
      <c r="D20" s="23">
        <v>0</v>
      </c>
      <c r="E20" s="21">
        <v>0</v>
      </c>
      <c r="F20" s="21">
        <v>0</v>
      </c>
      <c r="G20" s="24">
        <f t="shared" ref="G20" si="2">E20+F20</f>
        <v>0</v>
      </c>
      <c r="H20" s="54">
        <f t="shared" si="1"/>
        <v>0</v>
      </c>
      <c r="I20" s="25"/>
      <c r="J20" s="25"/>
      <c r="K20" s="25"/>
    </row>
    <row r="21" spans="1:12" s="4" customFormat="1" ht="31.5" customHeight="1" x14ac:dyDescent="0.3">
      <c r="A21" s="7"/>
      <c r="B21" s="26">
        <v>20000</v>
      </c>
      <c r="C21" s="27" t="s">
        <v>17</v>
      </c>
      <c r="D21" s="28">
        <f>D22+D29+D35+D40+D45+D49+D55+D58+D60+D62+D64+D68+D80</f>
        <v>57962000000</v>
      </c>
      <c r="E21" s="27">
        <f>E29</f>
        <v>4301091750</v>
      </c>
      <c r="F21" s="51">
        <f>F22+F29+F35+F40+F45+F49+F55+F58+F60+F62+F64+F68+F80</f>
        <v>51837322950</v>
      </c>
      <c r="G21" s="27">
        <f>E21+F21</f>
        <v>56138414700</v>
      </c>
      <c r="H21" s="27">
        <f>H22+H29+H35+H40+H45+H49+H55+H58+H62+H64+H68+H80+H60</f>
        <v>1823585300</v>
      </c>
      <c r="I21" s="27"/>
      <c r="J21" s="27"/>
      <c r="K21" s="27"/>
    </row>
    <row r="22" spans="1:12" s="4" customFormat="1" ht="32.25" customHeight="1" x14ac:dyDescent="0.3">
      <c r="A22" s="7"/>
      <c r="B22" s="18">
        <v>20100</v>
      </c>
      <c r="C22" s="18" t="s">
        <v>18</v>
      </c>
      <c r="D22" s="20">
        <f>SUM(D23:D28)</f>
        <v>1034000000</v>
      </c>
      <c r="E22" s="20">
        <v>0</v>
      </c>
      <c r="F22" s="50">
        <f>F23+F24+F25+F26+F27+F28</f>
        <v>530684509</v>
      </c>
      <c r="G22" s="20">
        <f>SUM(G23:G28)</f>
        <v>530684509</v>
      </c>
      <c r="H22" s="20">
        <f>SUM(H23:H28)</f>
        <v>503315491</v>
      </c>
      <c r="I22" s="20"/>
      <c r="J22" s="20"/>
      <c r="K22" s="20"/>
    </row>
    <row r="23" spans="1:12" s="4" customFormat="1" ht="26.25" x14ac:dyDescent="0.3">
      <c r="A23" s="7"/>
      <c r="B23" s="13">
        <v>20101</v>
      </c>
      <c r="C23" s="13" t="s">
        <v>19</v>
      </c>
      <c r="D23" s="21">
        <v>5000000</v>
      </c>
      <c r="E23" s="21">
        <v>0</v>
      </c>
      <c r="F23" s="21">
        <v>0</v>
      </c>
      <c r="G23" s="21">
        <f>F23+E23</f>
        <v>0</v>
      </c>
      <c r="H23" s="21">
        <f>D23-G23</f>
        <v>5000000</v>
      </c>
      <c r="I23" s="21"/>
      <c r="J23" s="21"/>
      <c r="K23" s="21"/>
    </row>
    <row r="24" spans="1:12" s="4" customFormat="1" ht="26.25" x14ac:dyDescent="0.3">
      <c r="A24" s="7"/>
      <c r="B24" s="13">
        <v>20102</v>
      </c>
      <c r="C24" s="13" t="s">
        <v>20</v>
      </c>
      <c r="D24" s="21">
        <v>10000000</v>
      </c>
      <c r="E24" s="21">
        <v>0</v>
      </c>
      <c r="F24" s="21">
        <v>3442222</v>
      </c>
      <c r="G24" s="21">
        <f>F24+E24</f>
        <v>3442222</v>
      </c>
      <c r="H24" s="21">
        <f t="shared" ref="H24:H28" si="3">D24-G24</f>
        <v>6557778</v>
      </c>
      <c r="I24" s="21"/>
      <c r="J24" s="21"/>
      <c r="K24" s="21"/>
    </row>
    <row r="25" spans="1:12" s="4" customFormat="1" ht="26.25" x14ac:dyDescent="0.3">
      <c r="A25" s="7"/>
      <c r="B25" s="13">
        <v>20103</v>
      </c>
      <c r="C25" s="13" t="s">
        <v>21</v>
      </c>
      <c r="D25" s="21">
        <v>945000000</v>
      </c>
      <c r="E25" s="21">
        <v>0</v>
      </c>
      <c r="F25" s="21">
        <f>505087287+22155000</f>
        <v>527242287</v>
      </c>
      <c r="G25" s="21">
        <f>F25+E25</f>
        <v>527242287</v>
      </c>
      <c r="H25" s="21">
        <f t="shared" si="3"/>
        <v>417757713</v>
      </c>
      <c r="I25" s="21"/>
      <c r="J25" s="21"/>
      <c r="K25" s="21"/>
    </row>
    <row r="26" spans="1:12" s="4" customFormat="1" ht="26.25" x14ac:dyDescent="0.3">
      <c r="A26" s="7"/>
      <c r="B26" s="13">
        <v>20104</v>
      </c>
      <c r="C26" s="13" t="s">
        <v>22</v>
      </c>
      <c r="D26" s="21">
        <v>39000000</v>
      </c>
      <c r="E26" s="21">
        <v>0</v>
      </c>
      <c r="F26" s="21">
        <v>0</v>
      </c>
      <c r="G26" s="21">
        <f>F26+E26</f>
        <v>0</v>
      </c>
      <c r="H26" s="21">
        <f t="shared" si="3"/>
        <v>39000000</v>
      </c>
      <c r="I26" s="21"/>
      <c r="J26" s="21"/>
      <c r="K26" s="21"/>
    </row>
    <row r="27" spans="1:12" s="4" customFormat="1" ht="26.25" x14ac:dyDescent="0.3">
      <c r="A27" s="7"/>
      <c r="B27" s="13">
        <v>20105</v>
      </c>
      <c r="C27" s="13" t="s">
        <v>74</v>
      </c>
      <c r="D27" s="21">
        <v>14000000</v>
      </c>
      <c r="E27" s="21">
        <v>0</v>
      </c>
      <c r="F27" s="21">
        <v>0</v>
      </c>
      <c r="G27" s="21">
        <f>E27+F27</f>
        <v>0</v>
      </c>
      <c r="H27" s="21">
        <f t="shared" si="3"/>
        <v>14000000</v>
      </c>
      <c r="I27" s="21"/>
      <c r="J27" s="21"/>
      <c r="K27" s="21"/>
    </row>
    <row r="28" spans="1:12" s="4" customFormat="1" ht="26.25" x14ac:dyDescent="0.3">
      <c r="A28" s="7"/>
      <c r="B28" s="13">
        <v>20106</v>
      </c>
      <c r="C28" s="13" t="s">
        <v>23</v>
      </c>
      <c r="D28" s="21">
        <v>21000000</v>
      </c>
      <c r="E28" s="21">
        <v>0</v>
      </c>
      <c r="F28" s="21">
        <v>0</v>
      </c>
      <c r="G28" s="21">
        <f>F28+E28</f>
        <v>0</v>
      </c>
      <c r="H28" s="21">
        <f t="shared" si="3"/>
        <v>21000000</v>
      </c>
      <c r="I28" s="21"/>
      <c r="J28" s="21"/>
      <c r="K28" s="21"/>
    </row>
    <row r="29" spans="1:12" s="4" customFormat="1" ht="31.5" customHeight="1" x14ac:dyDescent="0.3">
      <c r="A29" s="7"/>
      <c r="B29" s="18">
        <v>20200</v>
      </c>
      <c r="C29" s="47" t="s">
        <v>24</v>
      </c>
      <c r="D29" s="20">
        <f>SUM(D30:D34)</f>
        <v>48598000000</v>
      </c>
      <c r="E29" s="20">
        <f>SUM(E30:E34)</f>
        <v>4301091750</v>
      </c>
      <c r="F29" s="50">
        <f>F30+F31+F32+F33+F34</f>
        <v>44077008481</v>
      </c>
      <c r="G29" s="20">
        <f>SUM(G30:G34)</f>
        <v>48378100231</v>
      </c>
      <c r="H29" s="20">
        <f>SUM(H30:H34)</f>
        <v>219899769</v>
      </c>
      <c r="I29" s="20"/>
      <c r="J29" s="20"/>
      <c r="K29" s="20"/>
    </row>
    <row r="30" spans="1:12" s="4" customFormat="1" ht="26.25" x14ac:dyDescent="0.3">
      <c r="A30" s="7"/>
      <c r="B30" s="13">
        <v>20201</v>
      </c>
      <c r="C30" s="13" t="s">
        <v>25</v>
      </c>
      <c r="D30" s="21">
        <v>4950000000</v>
      </c>
      <c r="E30" s="21">
        <f>3979767554+321324196</f>
        <v>4301091750</v>
      </c>
      <c r="F30" s="21">
        <v>0</v>
      </c>
      <c r="G30" s="21">
        <f>F30+E30</f>
        <v>4301091750</v>
      </c>
      <c r="H30" s="21">
        <f>D30-G30</f>
        <v>648908250</v>
      </c>
      <c r="I30" s="21"/>
      <c r="J30" s="21"/>
      <c r="K30" s="21"/>
    </row>
    <row r="31" spans="1:12" s="4" customFormat="1" ht="26.25" x14ac:dyDescent="0.3">
      <c r="A31" s="7"/>
      <c r="B31" s="13">
        <v>20202</v>
      </c>
      <c r="C31" s="13" t="s">
        <v>75</v>
      </c>
      <c r="D31" s="21">
        <v>450000000</v>
      </c>
      <c r="E31" s="21">
        <v>0</v>
      </c>
      <c r="F31" s="21">
        <f>375294800+3030000</f>
        <v>378324800</v>
      </c>
      <c r="G31" s="21">
        <f>F31+E31</f>
        <v>378324800</v>
      </c>
      <c r="H31" s="45">
        <f t="shared" ref="H31:H34" si="4">D31-G31</f>
        <v>71675200</v>
      </c>
      <c r="I31" s="21"/>
      <c r="J31" s="21"/>
      <c r="K31" s="21"/>
    </row>
    <row r="32" spans="1:12" s="4" customFormat="1" ht="26.25" x14ac:dyDescent="0.3">
      <c r="A32" s="7"/>
      <c r="B32" s="13">
        <v>20203</v>
      </c>
      <c r="C32" s="13" t="s">
        <v>26</v>
      </c>
      <c r="D32" s="21">
        <v>120000000</v>
      </c>
      <c r="E32" s="21">
        <v>0</v>
      </c>
      <c r="F32" s="21">
        <f>120000000+5685000</f>
        <v>125685000</v>
      </c>
      <c r="G32" s="21">
        <f>F32+E32</f>
        <v>125685000</v>
      </c>
      <c r="H32" s="21">
        <f t="shared" si="4"/>
        <v>-5685000</v>
      </c>
      <c r="I32" s="21"/>
      <c r="J32" s="21"/>
      <c r="K32" s="21"/>
    </row>
    <row r="33" spans="1:11" s="4" customFormat="1" ht="42" customHeight="1" x14ac:dyDescent="0.3">
      <c r="A33" s="7"/>
      <c r="B33" s="13">
        <v>20204</v>
      </c>
      <c r="C33" s="13" t="s">
        <v>76</v>
      </c>
      <c r="D33" s="41">
        <v>1986000000</v>
      </c>
      <c r="E33" s="41">
        <v>0</v>
      </c>
      <c r="F33" s="41">
        <v>2166360350</v>
      </c>
      <c r="G33" s="41">
        <f>F33+E33</f>
        <v>2166360350</v>
      </c>
      <c r="H33" s="41">
        <f t="shared" si="4"/>
        <v>-180360350</v>
      </c>
      <c r="I33" s="21"/>
      <c r="J33" s="21"/>
      <c r="K33" s="21"/>
    </row>
    <row r="34" spans="1:11" s="4" customFormat="1" ht="78.75" customHeight="1" x14ac:dyDescent="0.3">
      <c r="A34" s="7"/>
      <c r="B34" s="13">
        <v>20205</v>
      </c>
      <c r="C34" s="13" t="s">
        <v>77</v>
      </c>
      <c r="D34" s="21">
        <v>41092000000</v>
      </c>
      <c r="E34" s="21">
        <v>0</v>
      </c>
      <c r="F34" s="21">
        <f>40661958331+44680000+700000000</f>
        <v>41406638331</v>
      </c>
      <c r="G34" s="21">
        <f>F34+E34</f>
        <v>41406638331</v>
      </c>
      <c r="H34" s="21">
        <f t="shared" si="4"/>
        <v>-314638331</v>
      </c>
      <c r="I34" s="21"/>
      <c r="J34" s="21"/>
      <c r="K34" s="21"/>
    </row>
    <row r="35" spans="1:11" s="4" customFormat="1" ht="26.25" x14ac:dyDescent="0.65">
      <c r="A35" s="7"/>
      <c r="B35" s="29">
        <v>20300</v>
      </c>
      <c r="C35" s="30" t="s">
        <v>27</v>
      </c>
      <c r="D35" s="31">
        <f>SUM(D36:D39)</f>
        <v>1285000000</v>
      </c>
      <c r="E35" s="31">
        <v>0</v>
      </c>
      <c r="F35" s="39">
        <f>SUM(F36:F39)</f>
        <v>1148446097</v>
      </c>
      <c r="G35" s="31">
        <f>SUM(G36:G39)</f>
        <v>1148446097</v>
      </c>
      <c r="H35" s="31">
        <f>SUM(H36:H39)</f>
        <v>136553903</v>
      </c>
      <c r="I35" s="31"/>
      <c r="J35" s="31"/>
      <c r="K35" s="31"/>
    </row>
    <row r="36" spans="1:11" s="4" customFormat="1" ht="26.25" x14ac:dyDescent="0.3">
      <c r="A36" s="7"/>
      <c r="B36" s="25">
        <v>20301</v>
      </c>
      <c r="C36" s="25" t="s">
        <v>28</v>
      </c>
      <c r="D36" s="32">
        <v>450000000</v>
      </c>
      <c r="E36" s="32">
        <v>0</v>
      </c>
      <c r="F36" s="32">
        <v>422013000</v>
      </c>
      <c r="G36" s="32">
        <f>F36+E36</f>
        <v>422013000</v>
      </c>
      <c r="H36" s="32">
        <f>D36-G36</f>
        <v>27987000</v>
      </c>
      <c r="I36" s="32"/>
      <c r="J36" s="32"/>
      <c r="K36" s="32"/>
    </row>
    <row r="37" spans="1:11" s="4" customFormat="1" ht="26.25" x14ac:dyDescent="0.3">
      <c r="A37" s="7"/>
      <c r="B37" s="25">
        <v>20302</v>
      </c>
      <c r="C37" s="25" t="s">
        <v>29</v>
      </c>
      <c r="D37" s="32">
        <v>15000000</v>
      </c>
      <c r="E37" s="32">
        <v>0</v>
      </c>
      <c r="F37" s="32">
        <v>3830315</v>
      </c>
      <c r="G37" s="32">
        <f>F37+E37</f>
        <v>3830315</v>
      </c>
      <c r="H37" s="32">
        <f t="shared" ref="H37:H39" si="5">D37-G37</f>
        <v>11169685</v>
      </c>
      <c r="I37" s="32"/>
      <c r="J37" s="32"/>
      <c r="K37" s="32"/>
    </row>
    <row r="38" spans="1:11" s="4" customFormat="1" ht="26.25" x14ac:dyDescent="0.3">
      <c r="A38" s="7"/>
      <c r="B38" s="25">
        <v>20303</v>
      </c>
      <c r="C38" s="25" t="s">
        <v>30</v>
      </c>
      <c r="D38" s="32">
        <v>270000000</v>
      </c>
      <c r="E38" s="32">
        <v>0</v>
      </c>
      <c r="F38" s="32">
        <v>221003055</v>
      </c>
      <c r="G38" s="32">
        <f>F38+E38</f>
        <v>221003055</v>
      </c>
      <c r="H38" s="32">
        <f t="shared" si="5"/>
        <v>48996945</v>
      </c>
      <c r="I38" s="32"/>
      <c r="J38" s="32"/>
      <c r="K38" s="32"/>
    </row>
    <row r="39" spans="1:11" s="4" customFormat="1" ht="26.25" x14ac:dyDescent="0.3">
      <c r="A39" s="7"/>
      <c r="B39" s="25">
        <v>20304</v>
      </c>
      <c r="C39" s="25" t="s">
        <v>31</v>
      </c>
      <c r="D39" s="32">
        <v>550000000</v>
      </c>
      <c r="E39" s="32">
        <v>0</v>
      </c>
      <c r="F39" s="32">
        <f>483449727+18150000</f>
        <v>501599727</v>
      </c>
      <c r="G39" s="32">
        <f>F39+E39</f>
        <v>501599727</v>
      </c>
      <c r="H39" s="32">
        <f t="shared" si="5"/>
        <v>48400273</v>
      </c>
      <c r="I39" s="32"/>
      <c r="J39" s="32"/>
      <c r="K39" s="32"/>
    </row>
    <row r="40" spans="1:11" s="4" customFormat="1" ht="33.75" customHeight="1" x14ac:dyDescent="0.3">
      <c r="A40" s="7"/>
      <c r="B40" s="18">
        <v>20400</v>
      </c>
      <c r="C40" s="29" t="s">
        <v>32</v>
      </c>
      <c r="D40" s="20">
        <f>SUM(D41:D44)</f>
        <v>990000000</v>
      </c>
      <c r="E40" s="20">
        <v>0</v>
      </c>
      <c r="F40" s="50">
        <f>SUM(F41:F44)</f>
        <v>985379660</v>
      </c>
      <c r="G40" s="20">
        <f>SUM(G41:G44)</f>
        <v>985379660</v>
      </c>
      <c r="H40" s="20">
        <f>H41+H42+H43+H44</f>
        <v>4620340</v>
      </c>
      <c r="I40" s="20"/>
      <c r="J40" s="20"/>
      <c r="K40" s="20"/>
    </row>
    <row r="41" spans="1:11" s="4" customFormat="1" ht="26.25" x14ac:dyDescent="0.3">
      <c r="A41" s="7"/>
      <c r="B41" s="25">
        <v>20401</v>
      </c>
      <c r="C41" s="25" t="s">
        <v>33</v>
      </c>
      <c r="D41" s="38">
        <v>290000000</v>
      </c>
      <c r="E41" s="32">
        <v>0</v>
      </c>
      <c r="F41" s="38">
        <v>287887800</v>
      </c>
      <c r="G41" s="32">
        <f>F41+E41</f>
        <v>287887800</v>
      </c>
      <c r="H41" s="32">
        <f>D41-G41</f>
        <v>2112200</v>
      </c>
      <c r="I41" s="32"/>
      <c r="J41" s="32"/>
      <c r="K41" s="32"/>
    </row>
    <row r="42" spans="1:11" s="4" customFormat="1" ht="36.75" customHeight="1" x14ac:dyDescent="0.3">
      <c r="A42" s="7"/>
      <c r="B42" s="25">
        <v>20402</v>
      </c>
      <c r="C42" s="13" t="s">
        <v>34</v>
      </c>
      <c r="D42" s="32">
        <v>0</v>
      </c>
      <c r="E42" s="32">
        <v>0</v>
      </c>
      <c r="F42" s="32">
        <v>0</v>
      </c>
      <c r="G42" s="32">
        <f>F42+E42</f>
        <v>0</v>
      </c>
      <c r="H42" s="32">
        <f t="shared" ref="H42:H44" si="6">D42-G42</f>
        <v>0</v>
      </c>
      <c r="I42" s="32"/>
      <c r="J42" s="32"/>
      <c r="K42" s="32"/>
    </row>
    <row r="43" spans="1:11" s="4" customFormat="1" ht="26.25" x14ac:dyDescent="0.3">
      <c r="A43" s="7"/>
      <c r="B43" s="25">
        <v>20403</v>
      </c>
      <c r="C43" s="25" t="s">
        <v>35</v>
      </c>
      <c r="D43" s="32">
        <v>300000000</v>
      </c>
      <c r="E43" s="32">
        <v>0</v>
      </c>
      <c r="F43" s="38">
        <v>295560100</v>
      </c>
      <c r="G43" s="32">
        <f>F43+E43</f>
        <v>295560100</v>
      </c>
      <c r="H43" s="42">
        <f t="shared" si="6"/>
        <v>4439900</v>
      </c>
      <c r="I43" s="32"/>
      <c r="J43" s="32"/>
      <c r="K43" s="32"/>
    </row>
    <row r="44" spans="1:11" s="4" customFormat="1" ht="26.25" x14ac:dyDescent="0.3">
      <c r="A44" s="7"/>
      <c r="B44" s="25">
        <v>20404</v>
      </c>
      <c r="C44" s="25" t="s">
        <v>36</v>
      </c>
      <c r="D44" s="32">
        <v>400000000</v>
      </c>
      <c r="E44" s="32">
        <v>0</v>
      </c>
      <c r="F44" s="42">
        <f>387631760+14300000</f>
        <v>401931760</v>
      </c>
      <c r="G44" s="32">
        <f>F44+E44</f>
        <v>401931760</v>
      </c>
      <c r="H44" s="32">
        <f t="shared" si="6"/>
        <v>-1931760</v>
      </c>
      <c r="I44" s="32"/>
      <c r="J44" s="32"/>
      <c r="K44" s="32"/>
    </row>
    <row r="45" spans="1:11" s="4" customFormat="1" ht="26.25" x14ac:dyDescent="0.3">
      <c r="A45" s="7"/>
      <c r="B45" s="29">
        <v>20500</v>
      </c>
      <c r="C45" s="29" t="s">
        <v>81</v>
      </c>
      <c r="D45" s="31">
        <f>SUM(D46:D48)</f>
        <v>912000000</v>
      </c>
      <c r="E45" s="31">
        <v>0</v>
      </c>
      <c r="F45" s="39">
        <f>SUM(F46:F48)</f>
        <v>895999050</v>
      </c>
      <c r="G45" s="31">
        <f>SUM(G46:G48)</f>
        <v>895999050</v>
      </c>
      <c r="H45" s="39">
        <f>H46+H47+H48</f>
        <v>16000950</v>
      </c>
      <c r="I45" s="31"/>
      <c r="J45" s="31"/>
      <c r="K45" s="31"/>
    </row>
    <row r="46" spans="1:11" s="4" customFormat="1" ht="26.25" x14ac:dyDescent="0.3">
      <c r="A46" s="7"/>
      <c r="B46" s="25">
        <v>20502</v>
      </c>
      <c r="C46" s="25" t="s">
        <v>78</v>
      </c>
      <c r="D46" s="32">
        <v>450000000</v>
      </c>
      <c r="E46" s="32">
        <v>0</v>
      </c>
      <c r="F46" s="32">
        <v>449015600</v>
      </c>
      <c r="G46" s="32">
        <f>E46+F46</f>
        <v>449015600</v>
      </c>
      <c r="H46" s="32">
        <f>D46-G46</f>
        <v>984400</v>
      </c>
      <c r="I46" s="32"/>
      <c r="J46" s="32"/>
      <c r="K46" s="32"/>
    </row>
    <row r="47" spans="1:11" s="4" customFormat="1" ht="26.25" x14ac:dyDescent="0.3">
      <c r="A47" s="7"/>
      <c r="B47" s="25">
        <v>20504</v>
      </c>
      <c r="C47" s="25" t="s">
        <v>79</v>
      </c>
      <c r="D47" s="32">
        <v>92000000</v>
      </c>
      <c r="E47" s="32">
        <v>0</v>
      </c>
      <c r="F47" s="32">
        <v>92000000</v>
      </c>
      <c r="G47" s="32">
        <f>E47+F47</f>
        <v>92000000</v>
      </c>
      <c r="H47" s="42">
        <f t="shared" ref="H47:H48" si="7">D47-G47</f>
        <v>0</v>
      </c>
      <c r="I47" s="32"/>
      <c r="J47" s="32"/>
      <c r="K47" s="32"/>
    </row>
    <row r="48" spans="1:11" s="4" customFormat="1" ht="26.25" x14ac:dyDescent="0.3">
      <c r="A48" s="7"/>
      <c r="B48" s="25">
        <v>20505</v>
      </c>
      <c r="C48" s="25" t="s">
        <v>80</v>
      </c>
      <c r="D48" s="32">
        <v>370000000</v>
      </c>
      <c r="E48" s="32">
        <v>0</v>
      </c>
      <c r="F48" s="32">
        <v>354983450</v>
      </c>
      <c r="G48" s="32">
        <f>E48+F48</f>
        <v>354983450</v>
      </c>
      <c r="H48" s="32">
        <f t="shared" si="7"/>
        <v>15016550</v>
      </c>
      <c r="I48" s="32"/>
      <c r="J48" s="32"/>
      <c r="K48" s="32"/>
    </row>
    <row r="49" spans="1:11" s="4" customFormat="1" ht="35.25" customHeight="1" x14ac:dyDescent="0.3">
      <c r="A49" s="7"/>
      <c r="B49" s="29">
        <v>20600</v>
      </c>
      <c r="C49" s="29" t="s">
        <v>37</v>
      </c>
      <c r="D49" s="31">
        <f>SUM(D50:D54)</f>
        <v>953000000</v>
      </c>
      <c r="E49" s="31">
        <v>0</v>
      </c>
      <c r="F49" s="39">
        <f>SUM(F50:F54)</f>
        <v>842975000</v>
      </c>
      <c r="G49" s="31">
        <f>SUM(G50:G53)</f>
        <v>840575000</v>
      </c>
      <c r="H49" s="31">
        <f>H50+H51+H52+H53+H54</f>
        <v>110025000</v>
      </c>
      <c r="I49" s="31"/>
      <c r="J49" s="31"/>
      <c r="K49" s="31"/>
    </row>
    <row r="50" spans="1:11" s="4" customFormat="1" ht="26.25" x14ac:dyDescent="0.3">
      <c r="A50" s="7"/>
      <c r="B50" s="25">
        <v>20601</v>
      </c>
      <c r="C50" s="25" t="s">
        <v>92</v>
      </c>
      <c r="D50" s="32">
        <v>615000000</v>
      </c>
      <c r="E50" s="32">
        <v>0</v>
      </c>
      <c r="F50" s="32">
        <f>492937000+800000+78878000</f>
        <v>572615000</v>
      </c>
      <c r="G50" s="32">
        <f>F50</f>
        <v>572615000</v>
      </c>
      <c r="H50" s="42">
        <f>D50-G50</f>
        <v>42385000</v>
      </c>
      <c r="I50" s="32"/>
      <c r="J50" s="32"/>
      <c r="K50" s="32"/>
    </row>
    <row r="51" spans="1:11" s="4" customFormat="1" ht="26.25" x14ac:dyDescent="0.3">
      <c r="A51" s="7"/>
      <c r="B51" s="25">
        <v>20602</v>
      </c>
      <c r="C51" s="25" t="s">
        <v>38</v>
      </c>
      <c r="D51" s="32">
        <v>52000000</v>
      </c>
      <c r="E51" s="32">
        <v>0</v>
      </c>
      <c r="F51" s="32">
        <v>0</v>
      </c>
      <c r="G51" s="32">
        <f>F51+E51</f>
        <v>0</v>
      </c>
      <c r="H51" s="42">
        <f t="shared" ref="H51:H54" si="8">D51-G51</f>
        <v>52000000</v>
      </c>
      <c r="I51" s="32"/>
      <c r="J51" s="32"/>
      <c r="K51" s="32"/>
    </row>
    <row r="52" spans="1:11" s="4" customFormat="1" ht="26.25" x14ac:dyDescent="0.3">
      <c r="A52" s="7"/>
      <c r="B52" s="25">
        <v>20603</v>
      </c>
      <c r="C52" s="25" t="s">
        <v>39</v>
      </c>
      <c r="D52" s="32">
        <v>260000000</v>
      </c>
      <c r="E52" s="32">
        <v>0</v>
      </c>
      <c r="F52" s="32">
        <v>253600000</v>
      </c>
      <c r="G52" s="32">
        <f>F52+E52</f>
        <v>253600000</v>
      </c>
      <c r="H52" s="32">
        <f t="shared" si="8"/>
        <v>6400000</v>
      </c>
      <c r="I52" s="32"/>
      <c r="J52" s="32"/>
      <c r="K52" s="32"/>
    </row>
    <row r="53" spans="1:11" s="4" customFormat="1" ht="26.25" x14ac:dyDescent="0.3">
      <c r="A53" s="7"/>
      <c r="B53" s="25">
        <v>20604</v>
      </c>
      <c r="C53" s="25" t="s">
        <v>40</v>
      </c>
      <c r="D53" s="32">
        <v>18000000</v>
      </c>
      <c r="E53" s="32">
        <v>0</v>
      </c>
      <c r="F53" s="32">
        <v>14360000</v>
      </c>
      <c r="G53" s="32">
        <f>F53+E53</f>
        <v>14360000</v>
      </c>
      <c r="H53" s="42">
        <f t="shared" si="8"/>
        <v>3640000</v>
      </c>
      <c r="I53" s="32"/>
      <c r="J53" s="32"/>
      <c r="K53" s="32"/>
    </row>
    <row r="54" spans="1:11" s="4" customFormat="1" ht="26.25" x14ac:dyDescent="0.3">
      <c r="A54" s="7"/>
      <c r="B54" s="25">
        <v>20605</v>
      </c>
      <c r="C54" s="25" t="s">
        <v>99</v>
      </c>
      <c r="D54" s="32">
        <v>8000000</v>
      </c>
      <c r="E54" s="32">
        <v>0</v>
      </c>
      <c r="F54" s="32">
        <v>2400000</v>
      </c>
      <c r="G54" s="32">
        <f>F54+E54</f>
        <v>2400000</v>
      </c>
      <c r="H54" s="42">
        <f t="shared" si="8"/>
        <v>5600000</v>
      </c>
      <c r="I54" s="32"/>
      <c r="J54" s="32"/>
      <c r="K54" s="32"/>
    </row>
    <row r="55" spans="1:11" s="4" customFormat="1" ht="32.25" customHeight="1" x14ac:dyDescent="0.3">
      <c r="A55" s="7"/>
      <c r="B55" s="29">
        <v>20700</v>
      </c>
      <c r="C55" s="29" t="s">
        <v>41</v>
      </c>
      <c r="D55" s="31">
        <f>D56+D57</f>
        <v>320000000</v>
      </c>
      <c r="E55" s="31">
        <v>0</v>
      </c>
      <c r="F55" s="39">
        <f>F56+F57</f>
        <v>300000000</v>
      </c>
      <c r="G55" s="31">
        <f>G56+G57</f>
        <v>300000000</v>
      </c>
      <c r="H55" s="31">
        <f>H56+H57</f>
        <v>20000000</v>
      </c>
      <c r="I55" s="31"/>
      <c r="J55" s="31"/>
      <c r="K55" s="31"/>
    </row>
    <row r="56" spans="1:11" s="4" customFormat="1" ht="26.25" x14ac:dyDescent="0.3">
      <c r="A56" s="7"/>
      <c r="B56" s="25">
        <v>20701</v>
      </c>
      <c r="C56" s="13" t="s">
        <v>42</v>
      </c>
      <c r="D56" s="32">
        <v>20000000</v>
      </c>
      <c r="E56" s="32">
        <v>0</v>
      </c>
      <c r="F56" s="32">
        <v>0</v>
      </c>
      <c r="G56" s="32">
        <f>F56+E56</f>
        <v>0</v>
      </c>
      <c r="H56" s="32">
        <f>D56-G56</f>
        <v>20000000</v>
      </c>
      <c r="I56" s="32"/>
      <c r="J56" s="32"/>
      <c r="K56" s="32"/>
    </row>
    <row r="57" spans="1:11" s="4" customFormat="1" ht="26.25" x14ac:dyDescent="0.3">
      <c r="A57" s="7"/>
      <c r="B57" s="25">
        <v>20702</v>
      </c>
      <c r="C57" s="13" t="s">
        <v>65</v>
      </c>
      <c r="D57" s="32">
        <v>300000000</v>
      </c>
      <c r="E57" s="32">
        <v>0</v>
      </c>
      <c r="F57" s="32">
        <f>225378000+74622000</f>
        <v>300000000</v>
      </c>
      <c r="G57" s="32">
        <f>F57+E57</f>
        <v>300000000</v>
      </c>
      <c r="H57" s="42">
        <f>D57-G57</f>
        <v>0</v>
      </c>
      <c r="I57" s="32"/>
      <c r="J57" s="32"/>
      <c r="K57" s="32"/>
    </row>
    <row r="58" spans="1:11" s="4" customFormat="1" ht="29.25" customHeight="1" x14ac:dyDescent="0.3">
      <c r="A58" s="7"/>
      <c r="B58" s="29">
        <v>20800</v>
      </c>
      <c r="C58" s="29" t="s">
        <v>43</v>
      </c>
      <c r="D58" s="31">
        <f>D59</f>
        <v>711000000</v>
      </c>
      <c r="E58" s="31">
        <v>0</v>
      </c>
      <c r="F58" s="39">
        <f>F59</f>
        <v>660953495</v>
      </c>
      <c r="G58" s="31">
        <f>G59</f>
        <v>660953495</v>
      </c>
      <c r="H58" s="31">
        <f>H59</f>
        <v>50046505</v>
      </c>
      <c r="I58" s="31"/>
      <c r="J58" s="31"/>
      <c r="K58" s="31"/>
    </row>
    <row r="59" spans="1:11" s="4" customFormat="1" ht="26.25" x14ac:dyDescent="0.3">
      <c r="A59" s="7"/>
      <c r="B59" s="25">
        <v>20801</v>
      </c>
      <c r="C59" s="25" t="s">
        <v>44</v>
      </c>
      <c r="D59" s="32">
        <v>711000000</v>
      </c>
      <c r="E59" s="32">
        <v>0</v>
      </c>
      <c r="F59" s="32">
        <f>647103350+13850145</f>
        <v>660953495</v>
      </c>
      <c r="G59" s="32">
        <f>F59</f>
        <v>660953495</v>
      </c>
      <c r="H59" s="32">
        <f>D59-G59</f>
        <v>50046505</v>
      </c>
      <c r="I59" s="32"/>
      <c r="J59" s="32"/>
      <c r="K59" s="32"/>
    </row>
    <row r="60" spans="1:11" s="4" customFormat="1" ht="26.25" x14ac:dyDescent="0.3">
      <c r="A60" s="7"/>
      <c r="B60" s="29">
        <v>20900</v>
      </c>
      <c r="C60" s="29" t="s">
        <v>96</v>
      </c>
      <c r="D60" s="31">
        <f>D61</f>
        <v>15000000</v>
      </c>
      <c r="E60" s="31">
        <v>0</v>
      </c>
      <c r="F60" s="39">
        <f>F61</f>
        <v>280000</v>
      </c>
      <c r="G60" s="31">
        <f>G61</f>
        <v>280000</v>
      </c>
      <c r="H60" s="31">
        <f>H61</f>
        <v>14720000</v>
      </c>
      <c r="I60" s="32"/>
      <c r="J60" s="32"/>
      <c r="K60" s="32"/>
    </row>
    <row r="61" spans="1:11" s="4" customFormat="1" ht="26.25" x14ac:dyDescent="0.3">
      <c r="A61" s="7"/>
      <c r="B61" s="25">
        <v>20901</v>
      </c>
      <c r="C61" s="43" t="s">
        <v>97</v>
      </c>
      <c r="D61" s="32">
        <v>15000000</v>
      </c>
      <c r="E61" s="32">
        <v>0</v>
      </c>
      <c r="F61" s="32">
        <v>280000</v>
      </c>
      <c r="G61" s="32">
        <f>F61+E61</f>
        <v>280000</v>
      </c>
      <c r="H61" s="32">
        <f>D61-G61</f>
        <v>14720000</v>
      </c>
      <c r="I61" s="32"/>
      <c r="J61" s="32"/>
      <c r="K61" s="32"/>
    </row>
    <row r="62" spans="1:11" s="4" customFormat="1" ht="33.75" customHeight="1" x14ac:dyDescent="0.3">
      <c r="A62" s="7"/>
      <c r="B62" s="29">
        <v>21000</v>
      </c>
      <c r="C62" s="29" t="s">
        <v>45</v>
      </c>
      <c r="D62" s="31">
        <f>D63</f>
        <v>15000000</v>
      </c>
      <c r="E62" s="31">
        <v>0</v>
      </c>
      <c r="F62" s="39">
        <f>F63</f>
        <v>2399000</v>
      </c>
      <c r="G62" s="31">
        <f>E62+F62</f>
        <v>2399000</v>
      </c>
      <c r="H62" s="31">
        <f>H63</f>
        <v>12601000</v>
      </c>
      <c r="I62" s="31"/>
      <c r="J62" s="31"/>
      <c r="K62" s="31"/>
    </row>
    <row r="63" spans="1:11" s="4" customFormat="1" ht="26.25" x14ac:dyDescent="0.3">
      <c r="A63" s="7"/>
      <c r="B63" s="25">
        <v>21001</v>
      </c>
      <c r="C63" s="25" t="s">
        <v>46</v>
      </c>
      <c r="D63" s="32">
        <v>15000000</v>
      </c>
      <c r="E63" s="32">
        <v>0</v>
      </c>
      <c r="F63" s="32">
        <f>2349000+50000</f>
        <v>2399000</v>
      </c>
      <c r="G63" s="32">
        <f>F63+E63</f>
        <v>2399000</v>
      </c>
      <c r="H63" s="42">
        <f>D63-G63</f>
        <v>12601000</v>
      </c>
      <c r="I63" s="32"/>
      <c r="J63" s="32"/>
      <c r="K63" s="32"/>
    </row>
    <row r="64" spans="1:11" s="4" customFormat="1" ht="34.5" customHeight="1" x14ac:dyDescent="0.3">
      <c r="A64" s="7"/>
      <c r="B64" s="29">
        <v>21100</v>
      </c>
      <c r="C64" s="29" t="s">
        <v>47</v>
      </c>
      <c r="D64" s="31">
        <f>D65+D66+D67</f>
        <v>1171000000</v>
      </c>
      <c r="E64" s="31">
        <v>0</v>
      </c>
      <c r="F64" s="39">
        <f>F65+F66+F67</f>
        <v>763709263</v>
      </c>
      <c r="G64" s="31">
        <f>G65+G66+G67</f>
        <v>763709263</v>
      </c>
      <c r="H64" s="31">
        <f>H65+H66+H67</f>
        <v>407290737</v>
      </c>
      <c r="I64" s="31"/>
      <c r="J64" s="31"/>
      <c r="K64" s="31"/>
    </row>
    <row r="65" spans="1:11" s="4" customFormat="1" ht="26.25" x14ac:dyDescent="0.3">
      <c r="A65" s="7"/>
      <c r="B65" s="25">
        <v>21101</v>
      </c>
      <c r="C65" s="13" t="s">
        <v>48</v>
      </c>
      <c r="D65" s="32">
        <v>60000000</v>
      </c>
      <c r="E65" s="32">
        <v>0</v>
      </c>
      <c r="F65" s="32">
        <v>5747000</v>
      </c>
      <c r="G65" s="32">
        <f>F65+E65</f>
        <v>5747000</v>
      </c>
      <c r="H65" s="32">
        <f>D65-G65</f>
        <v>54253000</v>
      </c>
      <c r="I65" s="32"/>
      <c r="J65" s="32"/>
      <c r="K65" s="32"/>
    </row>
    <row r="66" spans="1:11" s="4" customFormat="1" ht="52.5" x14ac:dyDescent="0.3">
      <c r="A66" s="7"/>
      <c r="B66" s="25">
        <v>21102</v>
      </c>
      <c r="C66" s="13" t="s">
        <v>100</v>
      </c>
      <c r="D66" s="32">
        <v>570000000</v>
      </c>
      <c r="E66" s="32">
        <v>0</v>
      </c>
      <c r="F66" s="32">
        <v>222563263</v>
      </c>
      <c r="G66" s="32">
        <f>F66+E66</f>
        <v>222563263</v>
      </c>
      <c r="H66" s="32">
        <f t="shared" ref="H66:H67" si="9">D66-G66</f>
        <v>347436737</v>
      </c>
      <c r="I66" s="32"/>
      <c r="J66" s="32"/>
      <c r="K66" s="32"/>
    </row>
    <row r="67" spans="1:11" s="4" customFormat="1" ht="26.25" x14ac:dyDescent="0.3">
      <c r="A67" s="7"/>
      <c r="B67" s="25">
        <v>21103</v>
      </c>
      <c r="C67" s="13" t="s">
        <v>49</v>
      </c>
      <c r="D67" s="32">
        <v>541000000</v>
      </c>
      <c r="E67" s="32">
        <v>0</v>
      </c>
      <c r="F67" s="32">
        <v>535399000</v>
      </c>
      <c r="G67" s="32">
        <f>F67+E67</f>
        <v>535399000</v>
      </c>
      <c r="H67" s="32">
        <f t="shared" si="9"/>
        <v>5601000</v>
      </c>
      <c r="I67" s="32"/>
      <c r="J67" s="32"/>
      <c r="K67" s="32"/>
    </row>
    <row r="68" spans="1:11" s="4" customFormat="1" ht="35.25" customHeight="1" x14ac:dyDescent="0.3">
      <c r="A68" s="7"/>
      <c r="B68" s="29">
        <v>21200</v>
      </c>
      <c r="C68" s="29" t="s">
        <v>50</v>
      </c>
      <c r="D68" s="31">
        <f>SUM(D69:D76)</f>
        <v>1406000000</v>
      </c>
      <c r="E68" s="31">
        <v>0</v>
      </c>
      <c r="F68" s="39">
        <f>SUM(F69:F79)</f>
        <v>1104578395</v>
      </c>
      <c r="G68" s="31">
        <f>SUM(G69:G79)</f>
        <v>1104578395</v>
      </c>
      <c r="H68" s="31">
        <f>SUM(H69:H79)</f>
        <v>301421605</v>
      </c>
      <c r="I68" s="31"/>
      <c r="J68" s="31"/>
      <c r="K68" s="31"/>
    </row>
    <row r="69" spans="1:11" s="4" customFormat="1" ht="26.25" x14ac:dyDescent="0.3">
      <c r="A69" s="7"/>
      <c r="B69" s="25">
        <v>21201</v>
      </c>
      <c r="C69" s="25" t="s">
        <v>66</v>
      </c>
      <c r="D69" s="32">
        <v>60000000</v>
      </c>
      <c r="E69" s="32">
        <v>0</v>
      </c>
      <c r="F69" s="32">
        <v>58262800</v>
      </c>
      <c r="G69" s="32">
        <f t="shared" ref="G69:G79" si="10">F69+E69</f>
        <v>58262800</v>
      </c>
      <c r="H69" s="42">
        <f>D69-G69</f>
        <v>1737200</v>
      </c>
      <c r="I69" s="32"/>
      <c r="J69" s="32"/>
      <c r="K69" s="32"/>
    </row>
    <row r="70" spans="1:11" s="4" customFormat="1" ht="26.25" x14ac:dyDescent="0.3">
      <c r="A70" s="7"/>
      <c r="B70" s="25">
        <v>21202</v>
      </c>
      <c r="C70" s="13" t="s">
        <v>67</v>
      </c>
      <c r="D70" s="32">
        <v>255000000</v>
      </c>
      <c r="E70" s="32">
        <v>0</v>
      </c>
      <c r="F70" s="32">
        <v>195218810</v>
      </c>
      <c r="G70" s="32">
        <f t="shared" si="10"/>
        <v>195218810</v>
      </c>
      <c r="H70" s="42">
        <f t="shared" ref="H70:H79" si="11">D70-G70</f>
        <v>59781190</v>
      </c>
      <c r="I70" s="32"/>
      <c r="J70" s="32"/>
      <c r="K70" s="32"/>
    </row>
    <row r="71" spans="1:11" s="4" customFormat="1" ht="26.25" x14ac:dyDescent="0.3">
      <c r="A71" s="7"/>
      <c r="B71" s="25">
        <v>21203</v>
      </c>
      <c r="C71" s="13" t="s">
        <v>68</v>
      </c>
      <c r="D71" s="32">
        <v>20000000</v>
      </c>
      <c r="E71" s="32">
        <v>0</v>
      </c>
      <c r="F71" s="32">
        <v>9240440</v>
      </c>
      <c r="G71" s="32">
        <f t="shared" si="10"/>
        <v>9240440</v>
      </c>
      <c r="H71" s="42">
        <f t="shared" si="11"/>
        <v>10759560</v>
      </c>
      <c r="I71" s="32"/>
      <c r="J71" s="32"/>
      <c r="K71" s="32"/>
    </row>
    <row r="72" spans="1:11" s="4" customFormat="1" ht="26.25" x14ac:dyDescent="0.3">
      <c r="A72" s="7"/>
      <c r="B72" s="25">
        <v>21204</v>
      </c>
      <c r="C72" s="13" t="s">
        <v>69</v>
      </c>
      <c r="D72" s="32">
        <v>470000000</v>
      </c>
      <c r="E72" s="32">
        <v>0</v>
      </c>
      <c r="F72" s="32">
        <f>355243608+6376000</f>
        <v>361619608</v>
      </c>
      <c r="G72" s="32">
        <f t="shared" si="10"/>
        <v>361619608</v>
      </c>
      <c r="H72" s="42">
        <f t="shared" si="11"/>
        <v>108380392</v>
      </c>
      <c r="I72" s="32"/>
      <c r="J72" s="32"/>
      <c r="K72" s="32"/>
    </row>
    <row r="73" spans="1:11" s="4" customFormat="1" ht="26.25" x14ac:dyDescent="0.3">
      <c r="A73" s="7"/>
      <c r="B73" s="25">
        <v>21205</v>
      </c>
      <c r="C73" s="13" t="s">
        <v>70</v>
      </c>
      <c r="D73" s="32">
        <v>40000000</v>
      </c>
      <c r="E73" s="32">
        <v>0</v>
      </c>
      <c r="F73" s="32">
        <v>24926000</v>
      </c>
      <c r="G73" s="32">
        <f t="shared" si="10"/>
        <v>24926000</v>
      </c>
      <c r="H73" s="42">
        <f t="shared" si="11"/>
        <v>15074000</v>
      </c>
      <c r="I73" s="32"/>
      <c r="J73" s="32"/>
      <c r="K73" s="32"/>
    </row>
    <row r="74" spans="1:11" s="4" customFormat="1" ht="26.25" x14ac:dyDescent="0.3">
      <c r="A74" s="7"/>
      <c r="B74" s="25">
        <v>21206</v>
      </c>
      <c r="C74" s="13" t="s">
        <v>95</v>
      </c>
      <c r="D74" s="32">
        <v>250000000</v>
      </c>
      <c r="E74" s="32">
        <v>0</v>
      </c>
      <c r="F74" s="32">
        <f>193239000+18300000</f>
        <v>211539000</v>
      </c>
      <c r="G74" s="32">
        <f t="shared" si="10"/>
        <v>211539000</v>
      </c>
      <c r="H74" s="32">
        <f t="shared" si="11"/>
        <v>38461000</v>
      </c>
      <c r="I74" s="32"/>
      <c r="J74" s="32"/>
      <c r="K74" s="32"/>
    </row>
    <row r="75" spans="1:11" s="4" customFormat="1" ht="26.25" x14ac:dyDescent="0.3">
      <c r="A75" s="7"/>
      <c r="B75" s="25">
        <v>21207</v>
      </c>
      <c r="C75" s="13" t="s">
        <v>71</v>
      </c>
      <c r="D75" s="32">
        <v>278000000</v>
      </c>
      <c r="E75" s="32">
        <v>0</v>
      </c>
      <c r="F75" s="32">
        <f>205951737+10470000</f>
        <v>216421737</v>
      </c>
      <c r="G75" s="32">
        <f t="shared" si="10"/>
        <v>216421737</v>
      </c>
      <c r="H75" s="32">
        <f t="shared" si="11"/>
        <v>61578263</v>
      </c>
      <c r="I75" s="32"/>
      <c r="J75" s="32"/>
      <c r="K75" s="32"/>
    </row>
    <row r="76" spans="1:11" s="4" customFormat="1" ht="26.25" x14ac:dyDescent="0.3">
      <c r="A76" s="7"/>
      <c r="B76" s="25">
        <v>21208</v>
      </c>
      <c r="C76" s="13" t="s">
        <v>51</v>
      </c>
      <c r="D76" s="32">
        <v>33000000</v>
      </c>
      <c r="E76" s="32">
        <v>0</v>
      </c>
      <c r="F76" s="32">
        <f>26750000+600000</f>
        <v>27350000</v>
      </c>
      <c r="G76" s="32">
        <f t="shared" si="10"/>
        <v>27350000</v>
      </c>
      <c r="H76" s="32">
        <f t="shared" si="11"/>
        <v>5650000</v>
      </c>
      <c r="I76" s="32"/>
      <c r="J76" s="32"/>
      <c r="K76" s="32"/>
    </row>
    <row r="77" spans="1:11" s="4" customFormat="1" ht="26.25" x14ac:dyDescent="0.3">
      <c r="A77" s="7"/>
      <c r="B77" s="25">
        <v>21209</v>
      </c>
      <c r="C77" s="43" t="s">
        <v>98</v>
      </c>
      <c r="D77" s="32">
        <v>0</v>
      </c>
      <c r="E77" s="32">
        <v>0</v>
      </c>
      <c r="F77" s="32">
        <v>0</v>
      </c>
      <c r="G77" s="32">
        <f t="shared" si="10"/>
        <v>0</v>
      </c>
      <c r="H77" s="42">
        <f t="shared" si="11"/>
        <v>0</v>
      </c>
      <c r="I77" s="32"/>
      <c r="J77" s="32"/>
      <c r="K77" s="32"/>
    </row>
    <row r="78" spans="1:11" s="4" customFormat="1" ht="26.25" x14ac:dyDescent="0.3">
      <c r="A78" s="7"/>
      <c r="B78" s="25">
        <v>21211</v>
      </c>
      <c r="C78" s="46" t="s">
        <v>85</v>
      </c>
      <c r="D78" s="32">
        <v>0</v>
      </c>
      <c r="E78" s="32">
        <v>0</v>
      </c>
      <c r="F78" s="32">
        <v>0</v>
      </c>
      <c r="G78" s="32">
        <f t="shared" si="10"/>
        <v>0</v>
      </c>
      <c r="H78" s="42">
        <f t="shared" si="11"/>
        <v>0</v>
      </c>
      <c r="I78" s="32"/>
      <c r="J78" s="32"/>
      <c r="K78" s="32"/>
    </row>
    <row r="79" spans="1:11" s="4" customFormat="1" ht="26.25" x14ac:dyDescent="0.3">
      <c r="A79" s="7"/>
      <c r="B79" s="25">
        <v>21212</v>
      </c>
      <c r="C79" s="46" t="s">
        <v>86</v>
      </c>
      <c r="D79" s="32">
        <v>0</v>
      </c>
      <c r="E79" s="32">
        <v>0</v>
      </c>
      <c r="F79" s="32">
        <v>0</v>
      </c>
      <c r="G79" s="32">
        <f t="shared" si="10"/>
        <v>0</v>
      </c>
      <c r="H79" s="42">
        <f t="shared" si="11"/>
        <v>0</v>
      </c>
      <c r="I79" s="32"/>
      <c r="J79" s="32"/>
      <c r="K79" s="32"/>
    </row>
    <row r="80" spans="1:11" s="4" customFormat="1" ht="41.25" customHeight="1" x14ac:dyDescent="0.3">
      <c r="A80" s="7"/>
      <c r="B80" s="29">
        <v>21300</v>
      </c>
      <c r="C80" s="29" t="s">
        <v>52</v>
      </c>
      <c r="D80" s="31">
        <f>D81+D82</f>
        <v>552000000</v>
      </c>
      <c r="E80" s="31">
        <v>0</v>
      </c>
      <c r="F80" s="39">
        <f>F81+F82</f>
        <v>524910000</v>
      </c>
      <c r="G80" s="31">
        <f>G81+G82</f>
        <v>524910000</v>
      </c>
      <c r="H80" s="31">
        <f>H81+H82</f>
        <v>27090000</v>
      </c>
      <c r="I80" s="31"/>
      <c r="J80" s="31"/>
      <c r="K80" s="31"/>
    </row>
    <row r="81" spans="1:12" s="4" customFormat="1" ht="26.25" x14ac:dyDescent="0.3">
      <c r="A81" s="7"/>
      <c r="B81" s="25">
        <v>21301</v>
      </c>
      <c r="C81" s="13" t="s">
        <v>73</v>
      </c>
      <c r="D81" s="32">
        <v>522000000</v>
      </c>
      <c r="E81" s="32">
        <v>0</v>
      </c>
      <c r="F81" s="32">
        <v>512120000</v>
      </c>
      <c r="G81" s="32">
        <f>F81+E81</f>
        <v>512120000</v>
      </c>
      <c r="H81" s="32">
        <f>D81-G81</f>
        <v>9880000</v>
      </c>
      <c r="I81" s="32"/>
      <c r="J81" s="32"/>
      <c r="K81" s="32"/>
    </row>
    <row r="82" spans="1:12" s="4" customFormat="1" ht="26.25" x14ac:dyDescent="0.3">
      <c r="A82" s="7"/>
      <c r="B82" s="25">
        <v>21302</v>
      </c>
      <c r="C82" s="13" t="s">
        <v>72</v>
      </c>
      <c r="D82" s="32">
        <v>30000000</v>
      </c>
      <c r="E82" s="32">
        <v>0</v>
      </c>
      <c r="F82" s="32">
        <v>12790000</v>
      </c>
      <c r="G82" s="32">
        <f>F82+E82</f>
        <v>12790000</v>
      </c>
      <c r="H82" s="32">
        <f>D82-G82</f>
        <v>17210000</v>
      </c>
      <c r="I82" s="32"/>
      <c r="J82" s="32"/>
      <c r="K82" s="32"/>
    </row>
    <row r="83" spans="1:12" s="4" customFormat="1" ht="31.5" customHeight="1" x14ac:dyDescent="0.3">
      <c r="A83" s="7"/>
      <c r="B83" s="33">
        <v>60000</v>
      </c>
      <c r="C83" s="33" t="s">
        <v>53</v>
      </c>
      <c r="D83" s="28">
        <f>D84+D88</f>
        <v>24218000000</v>
      </c>
      <c r="E83" s="28">
        <f>E84+E88</f>
        <v>4455660889</v>
      </c>
      <c r="F83" s="52">
        <f>F84+F88</f>
        <v>18925764537</v>
      </c>
      <c r="G83" s="28">
        <f>G84+G88</f>
        <v>23381425426</v>
      </c>
      <c r="H83" s="28">
        <f>H84+H88</f>
        <v>836574574</v>
      </c>
      <c r="I83" s="28"/>
      <c r="J83" s="28"/>
      <c r="K83" s="28"/>
    </row>
    <row r="84" spans="1:12" s="4" customFormat="1" ht="36" customHeight="1" x14ac:dyDescent="0.65">
      <c r="A84" s="7"/>
      <c r="B84" s="29">
        <v>60100</v>
      </c>
      <c r="C84" s="34" t="s">
        <v>54</v>
      </c>
      <c r="D84" s="31">
        <f>D85+D86+D87</f>
        <v>4747000000</v>
      </c>
      <c r="E84" s="31">
        <f>E85+E86+E87</f>
        <v>4455660889</v>
      </c>
      <c r="F84" s="39">
        <f>F85+F86+F87</f>
        <v>4907138</v>
      </c>
      <c r="G84" s="31">
        <f>G85+G86+G87</f>
        <v>4460568027</v>
      </c>
      <c r="H84" s="31">
        <f>H85+H86+H87</f>
        <v>286431973</v>
      </c>
      <c r="I84" s="31"/>
      <c r="J84" s="31"/>
      <c r="K84" s="31"/>
    </row>
    <row r="85" spans="1:12" s="3" customFormat="1" ht="26.25" x14ac:dyDescent="0.3">
      <c r="A85" s="8"/>
      <c r="B85" s="25">
        <v>60101</v>
      </c>
      <c r="C85" s="25" t="s">
        <v>55</v>
      </c>
      <c r="D85" s="32">
        <v>256000000</v>
      </c>
      <c r="E85" s="32">
        <f>202931498+18448318</f>
        <v>221379816</v>
      </c>
      <c r="F85" s="32">
        <v>0</v>
      </c>
      <c r="G85" s="32">
        <f>E85+F85</f>
        <v>221379816</v>
      </c>
      <c r="H85" s="32">
        <f>D85-G85</f>
        <v>34620184</v>
      </c>
      <c r="I85" s="32"/>
      <c r="J85" s="32"/>
      <c r="K85" s="32"/>
    </row>
    <row r="86" spans="1:12" s="3" customFormat="1" ht="45.75" customHeight="1" x14ac:dyDescent="0.3">
      <c r="A86" s="8"/>
      <c r="B86" s="25">
        <v>60102</v>
      </c>
      <c r="C86" s="13" t="s">
        <v>56</v>
      </c>
      <c r="D86" s="32">
        <v>4421000000</v>
      </c>
      <c r="E86" s="32">
        <f>3760414810+391873743</f>
        <v>4152288553</v>
      </c>
      <c r="F86" s="38">
        <v>4907138</v>
      </c>
      <c r="G86" s="32">
        <f>E86+F86</f>
        <v>4157195691</v>
      </c>
      <c r="H86" s="42">
        <f t="shared" ref="H86:H87" si="12">D86-G86</f>
        <v>263804309</v>
      </c>
      <c r="I86" s="32"/>
      <c r="J86" s="32"/>
      <c r="K86" s="32"/>
    </row>
    <row r="87" spans="1:12" s="3" customFormat="1" ht="26.25" x14ac:dyDescent="0.3">
      <c r="A87" s="8"/>
      <c r="B87" s="25">
        <v>60103</v>
      </c>
      <c r="C87" s="13" t="s">
        <v>82</v>
      </c>
      <c r="D87" s="32">
        <v>70000000</v>
      </c>
      <c r="E87" s="32">
        <f>75159810+6832710</f>
        <v>81992520</v>
      </c>
      <c r="F87" s="32">
        <v>0</v>
      </c>
      <c r="G87" s="32">
        <f>F87+E87</f>
        <v>81992520</v>
      </c>
      <c r="H87" s="32">
        <f t="shared" si="12"/>
        <v>-11992520</v>
      </c>
      <c r="I87" s="32"/>
      <c r="J87" s="32"/>
      <c r="K87" s="32"/>
    </row>
    <row r="88" spans="1:12" s="3" customFormat="1" ht="35.25" customHeight="1" x14ac:dyDescent="0.3">
      <c r="A88" s="8"/>
      <c r="B88" s="29">
        <v>60200</v>
      </c>
      <c r="C88" s="35" t="s">
        <v>57</v>
      </c>
      <c r="D88" s="31">
        <f>SUM(D89:D95)</f>
        <v>19471000000</v>
      </c>
      <c r="E88" s="31">
        <f>SUM(E89:E95)</f>
        <v>0</v>
      </c>
      <c r="F88" s="39">
        <f>SUM(F89:F95)</f>
        <v>18920857399</v>
      </c>
      <c r="G88" s="31">
        <f>SUM(G89:G95)</f>
        <v>18920857399</v>
      </c>
      <c r="H88" s="31">
        <f>SUM(H89:H95)</f>
        <v>550142601</v>
      </c>
      <c r="I88" s="31"/>
      <c r="J88" s="31"/>
      <c r="K88" s="31"/>
    </row>
    <row r="89" spans="1:12" s="3" customFormat="1" ht="26.25" x14ac:dyDescent="0.3">
      <c r="A89" s="8"/>
      <c r="B89" s="25">
        <v>60201</v>
      </c>
      <c r="C89" s="25" t="s">
        <v>58</v>
      </c>
      <c r="D89" s="32">
        <v>994000000</v>
      </c>
      <c r="E89" s="32">
        <v>0</v>
      </c>
      <c r="F89" s="38">
        <v>711427200</v>
      </c>
      <c r="G89" s="32">
        <f>E89+F89</f>
        <v>711427200</v>
      </c>
      <c r="H89" s="32">
        <f>D89-G89</f>
        <v>282572800</v>
      </c>
      <c r="I89" s="32"/>
      <c r="J89" s="32"/>
      <c r="K89" s="32"/>
    </row>
    <row r="90" spans="1:12" s="3" customFormat="1" ht="26.25" x14ac:dyDescent="0.3">
      <c r="A90" s="8"/>
      <c r="B90" s="25">
        <v>60202</v>
      </c>
      <c r="C90" s="25" t="s">
        <v>59</v>
      </c>
      <c r="D90" s="32">
        <v>806000000</v>
      </c>
      <c r="E90" s="32">
        <v>0</v>
      </c>
      <c r="F90" s="38">
        <v>647770000</v>
      </c>
      <c r="G90" s="32">
        <f t="shared" ref="G90:G93" si="13">E90+F90</f>
        <v>647770000</v>
      </c>
      <c r="H90" s="32">
        <f t="shared" ref="H90:H95" si="14">D90-G90</f>
        <v>158230000</v>
      </c>
      <c r="I90" s="32"/>
      <c r="J90" s="32"/>
      <c r="K90" s="32"/>
    </row>
    <row r="91" spans="1:12" s="3" customFormat="1" ht="26.25" x14ac:dyDescent="0.3">
      <c r="A91" s="8"/>
      <c r="B91" s="25">
        <v>60203</v>
      </c>
      <c r="C91" s="25" t="s">
        <v>93</v>
      </c>
      <c r="D91" s="32">
        <v>700000000</v>
      </c>
      <c r="E91" s="32">
        <v>0</v>
      </c>
      <c r="F91" s="42">
        <v>512723824</v>
      </c>
      <c r="G91" s="32">
        <f>F91</f>
        <v>512723824</v>
      </c>
      <c r="H91" s="32">
        <f t="shared" si="14"/>
        <v>187276176</v>
      </c>
      <c r="I91" s="32"/>
      <c r="J91" s="32"/>
      <c r="K91" s="32"/>
    </row>
    <row r="92" spans="1:12" s="3" customFormat="1" ht="52.5" x14ac:dyDescent="0.3">
      <c r="A92" s="8"/>
      <c r="B92" s="25">
        <v>60204</v>
      </c>
      <c r="C92" s="40" t="s">
        <v>94</v>
      </c>
      <c r="D92" s="32">
        <v>0</v>
      </c>
      <c r="E92" s="32">
        <v>0</v>
      </c>
      <c r="F92" s="32">
        <v>0</v>
      </c>
      <c r="G92" s="32">
        <v>0</v>
      </c>
      <c r="H92" s="32">
        <f t="shared" si="14"/>
        <v>0</v>
      </c>
      <c r="I92" s="32"/>
      <c r="J92" s="32"/>
      <c r="K92" s="32"/>
    </row>
    <row r="93" spans="1:12" s="3" customFormat="1" ht="26.25" x14ac:dyDescent="0.3">
      <c r="A93" s="8"/>
      <c r="B93" s="25">
        <v>60205</v>
      </c>
      <c r="C93" s="25" t="s">
        <v>60</v>
      </c>
      <c r="D93" s="32">
        <v>130000000</v>
      </c>
      <c r="E93" s="32">
        <v>0</v>
      </c>
      <c r="F93" s="38">
        <v>47541000</v>
      </c>
      <c r="G93" s="32">
        <f t="shared" si="13"/>
        <v>47541000</v>
      </c>
      <c r="H93" s="32">
        <f t="shared" si="14"/>
        <v>82459000</v>
      </c>
      <c r="I93" s="32"/>
      <c r="J93" s="32"/>
      <c r="K93" s="32"/>
    </row>
    <row r="94" spans="1:12" s="3" customFormat="1" ht="51" customHeight="1" x14ac:dyDescent="0.3">
      <c r="A94" s="8"/>
      <c r="B94" s="25">
        <v>60206</v>
      </c>
      <c r="C94" s="25" t="s">
        <v>83</v>
      </c>
      <c r="D94" s="32">
        <v>3000000000</v>
      </c>
      <c r="E94" s="32">
        <v>0</v>
      </c>
      <c r="F94" s="38">
        <f>2565679328</f>
        <v>2565679328</v>
      </c>
      <c r="G94" s="32">
        <f>E94+F94</f>
        <v>2565679328</v>
      </c>
      <c r="H94" s="32">
        <f t="shared" si="14"/>
        <v>434320672</v>
      </c>
      <c r="I94" s="32"/>
      <c r="J94" s="32"/>
      <c r="K94" s="32"/>
    </row>
    <row r="95" spans="1:12" s="3" customFormat="1" ht="26.25" x14ac:dyDescent="0.3">
      <c r="A95" s="8"/>
      <c r="B95" s="25">
        <v>60207</v>
      </c>
      <c r="C95" s="25" t="s">
        <v>84</v>
      </c>
      <c r="D95" s="32">
        <v>13841000000</v>
      </c>
      <c r="E95" s="32">
        <v>0</v>
      </c>
      <c r="F95" s="38">
        <f>14435716047</f>
        <v>14435716047</v>
      </c>
      <c r="G95" s="32">
        <f>E95+F95</f>
        <v>14435716047</v>
      </c>
      <c r="H95" s="32">
        <f t="shared" si="14"/>
        <v>-594716047</v>
      </c>
      <c r="I95" s="37"/>
      <c r="J95" s="37"/>
      <c r="K95" s="32"/>
      <c r="L95" s="11"/>
    </row>
    <row r="96" spans="1:12" s="3" customFormat="1" ht="26.25" x14ac:dyDescent="0.3">
      <c r="A96" s="8"/>
      <c r="B96" s="28">
        <v>70000</v>
      </c>
      <c r="C96" s="28" t="s">
        <v>61</v>
      </c>
      <c r="D96" s="28">
        <f>D97</f>
        <v>2150000000</v>
      </c>
      <c r="E96" s="28">
        <v>0</v>
      </c>
      <c r="F96" s="52">
        <f>F97</f>
        <v>20138900</v>
      </c>
      <c r="G96" s="28">
        <f>E96+F96</f>
        <v>20138900</v>
      </c>
      <c r="H96" s="28">
        <f>H97</f>
        <v>2129861100</v>
      </c>
      <c r="I96" s="28"/>
      <c r="J96" s="28"/>
      <c r="K96" s="28"/>
    </row>
    <row r="97" spans="1:11" s="3" customFormat="1" ht="33" customHeight="1" x14ac:dyDescent="0.3">
      <c r="A97" s="8"/>
      <c r="B97" s="31">
        <v>70300</v>
      </c>
      <c r="C97" s="31" t="s">
        <v>62</v>
      </c>
      <c r="D97" s="31">
        <f>D98+D99</f>
        <v>2150000000</v>
      </c>
      <c r="E97" s="31">
        <v>0</v>
      </c>
      <c r="F97" s="39">
        <f>F98+F99</f>
        <v>20138900</v>
      </c>
      <c r="G97" s="31">
        <f>G98</f>
        <v>0</v>
      </c>
      <c r="H97" s="31">
        <f>H98+H99</f>
        <v>2129861100</v>
      </c>
      <c r="I97" s="31"/>
      <c r="J97" s="31"/>
      <c r="K97" s="31"/>
    </row>
    <row r="98" spans="1:11" s="3" customFormat="1" ht="37.5" customHeight="1" x14ac:dyDescent="0.3">
      <c r="A98" s="8"/>
      <c r="B98" s="36">
        <v>70301</v>
      </c>
      <c r="C98" s="36" t="s">
        <v>63</v>
      </c>
      <c r="D98" s="32">
        <v>1650000000</v>
      </c>
      <c r="E98" s="32">
        <v>0</v>
      </c>
      <c r="F98" s="32">
        <v>0</v>
      </c>
      <c r="G98" s="32">
        <f>F98</f>
        <v>0</v>
      </c>
      <c r="H98" s="28">
        <f>D98-F98</f>
        <v>1650000000</v>
      </c>
      <c r="I98" s="32"/>
      <c r="J98" s="32"/>
      <c r="K98" s="32"/>
    </row>
    <row r="99" spans="1:11" ht="26.25" x14ac:dyDescent="0.25">
      <c r="B99" s="36">
        <v>70302</v>
      </c>
      <c r="C99" s="36" t="s">
        <v>101</v>
      </c>
      <c r="D99" s="32">
        <v>500000000</v>
      </c>
      <c r="E99" s="32">
        <v>0</v>
      </c>
      <c r="F99" s="32">
        <v>20138900</v>
      </c>
      <c r="G99" s="32">
        <f>F99</f>
        <v>20138900</v>
      </c>
      <c r="H99" s="28">
        <f>D99-F99</f>
        <v>479861100</v>
      </c>
      <c r="I99" s="32"/>
      <c r="J99" s="32"/>
      <c r="K99" s="32"/>
    </row>
    <row r="100" spans="1:11" ht="15.75" x14ac:dyDescent="0.25">
      <c r="B100" s="1"/>
      <c r="C100" s="1"/>
      <c r="D100" s="1"/>
      <c r="E100" s="1"/>
      <c r="F100" s="1"/>
      <c r="G100" s="1"/>
      <c r="H100" s="1"/>
      <c r="I100" s="5"/>
      <c r="J100" s="5"/>
      <c r="K100" s="5"/>
    </row>
    <row r="101" spans="1:11" ht="15.75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5.75" x14ac:dyDescent="0.25">
      <c r="B102" s="1"/>
      <c r="C102" s="1"/>
      <c r="D102" s="1"/>
      <c r="E102" s="1"/>
      <c r="F102" s="1"/>
      <c r="G102" s="1"/>
      <c r="H102" s="1"/>
      <c r="J102" s="1"/>
      <c r="K102" s="1"/>
    </row>
    <row r="103" spans="1:11" ht="15.75" x14ac:dyDescent="0.25">
      <c r="B103" s="1"/>
      <c r="C103" s="1"/>
      <c r="D103" s="1"/>
      <c r="E103" s="53"/>
      <c r="F103" s="1"/>
      <c r="G103" s="55"/>
      <c r="H103" s="1"/>
      <c r="I103" s="61"/>
      <c r="J103" s="1"/>
      <c r="K103" s="1"/>
    </row>
    <row r="104" spans="1:11" x14ac:dyDescent="0.25">
      <c r="B104" s="2"/>
      <c r="C104" s="2"/>
      <c r="D104" s="2"/>
      <c r="E104" s="2"/>
      <c r="F104" s="2"/>
      <c r="G104" s="2"/>
      <c r="H104" s="57"/>
      <c r="I104" s="2"/>
      <c r="J104" s="2"/>
      <c r="K104" s="2"/>
    </row>
    <row r="105" spans="1:11" x14ac:dyDescent="0.25">
      <c r="E105" s="10"/>
      <c r="G105" s="56"/>
      <c r="H105" s="10"/>
      <c r="I105" s="58"/>
    </row>
    <row r="106" spans="1:11" x14ac:dyDescent="0.25">
      <c r="E106" s="10"/>
      <c r="H106" s="10"/>
    </row>
    <row r="108" spans="1:11" x14ac:dyDescent="0.25">
      <c r="J108" s="10"/>
    </row>
  </sheetData>
  <mergeCells count="8">
    <mergeCell ref="B1:K2"/>
    <mergeCell ref="K3:K4"/>
    <mergeCell ref="E3:G3"/>
    <mergeCell ref="D3:D4"/>
    <mergeCell ref="C3:C4"/>
    <mergeCell ref="H3:H4"/>
    <mergeCell ref="B3:B5"/>
    <mergeCell ref="J3:J4"/>
  </mergeCells>
  <printOptions horizontalCentered="1" verticalCentered="1"/>
  <pageMargins left="0" right="0" top="0" bottom="0" header="0" footer="0"/>
  <pageSetup paperSize="9" scale="5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6DB2A-7858-47D6-B885-792458906CC9}">
  <dimension ref="A1:H103"/>
  <sheetViews>
    <sheetView rightToLeft="1" tabSelected="1" zoomScale="80" zoomScaleNormal="80" workbookViewId="0">
      <pane ySplit="1" topLeftCell="A2" activePane="bottomLeft" state="frozen"/>
      <selection pane="bottomLeft" activeCell="F99" sqref="A1:G99"/>
    </sheetView>
  </sheetViews>
  <sheetFormatPr defaultRowHeight="15" x14ac:dyDescent="0.25"/>
  <cols>
    <col min="1" max="1" width="5.28515625" style="6" customWidth="1"/>
    <col min="2" max="2" width="23.85546875" bestFit="1" customWidth="1"/>
    <col min="3" max="3" width="56.85546875" customWidth="1"/>
    <col min="4" max="4" width="18.85546875" hidden="1" customWidth="1"/>
    <col min="5" max="5" width="11.85546875" hidden="1" customWidth="1"/>
    <col min="6" max="6" width="31.7109375" customWidth="1"/>
    <col min="7" max="7" width="28.85546875" hidden="1" customWidth="1"/>
    <col min="8" max="8" width="31.5703125" bestFit="1" customWidth="1"/>
    <col min="9" max="9" width="28.140625" bestFit="1" customWidth="1"/>
  </cols>
  <sheetData>
    <row r="1" spans="1:8" ht="68.25" customHeight="1" x14ac:dyDescent="0.25">
      <c r="B1" s="68" t="s">
        <v>113</v>
      </c>
      <c r="C1" s="69"/>
      <c r="D1" s="69"/>
      <c r="E1" s="69"/>
      <c r="F1" s="69"/>
      <c r="G1" s="70"/>
      <c r="H1" s="10"/>
    </row>
    <row r="2" spans="1:8" ht="38.25" customHeight="1" x14ac:dyDescent="0.25">
      <c r="B2" s="71"/>
      <c r="C2" s="72"/>
      <c r="D2" s="72"/>
      <c r="E2" s="72"/>
      <c r="F2" s="72"/>
      <c r="G2" s="73"/>
      <c r="H2" s="10"/>
    </row>
    <row r="3" spans="1:8" ht="48" customHeight="1" x14ac:dyDescent="0.25">
      <c r="B3" s="77" t="s">
        <v>0</v>
      </c>
      <c r="C3" s="74" t="s">
        <v>1</v>
      </c>
      <c r="D3" s="74" t="s">
        <v>110</v>
      </c>
      <c r="E3" s="74" t="s">
        <v>111</v>
      </c>
      <c r="F3" s="74" t="s">
        <v>112</v>
      </c>
      <c r="G3" s="74" t="s">
        <v>110</v>
      </c>
      <c r="H3" s="10"/>
    </row>
    <row r="4" spans="1:8" ht="54" customHeight="1" x14ac:dyDescent="0.25">
      <c r="B4" s="78"/>
      <c r="C4" s="75"/>
      <c r="D4" s="75"/>
      <c r="E4" s="75"/>
      <c r="F4" s="80"/>
      <c r="G4" s="75"/>
      <c r="H4" s="10"/>
    </row>
    <row r="5" spans="1:8" s="4" customFormat="1" ht="26.25" customHeight="1" x14ac:dyDescent="0.3">
      <c r="A5" s="7"/>
      <c r="B5" s="79"/>
      <c r="C5" s="14" t="s">
        <v>5</v>
      </c>
      <c r="D5" s="12">
        <f>D6+D21+D83+D96</f>
        <v>173630000000</v>
      </c>
      <c r="E5" s="12">
        <f>E6+E21+E83+E96</f>
        <v>173630000000</v>
      </c>
      <c r="F5" s="12">
        <v>112802573777</v>
      </c>
      <c r="G5" s="12">
        <f>G6+G21+G83+G96</f>
        <v>173630000000</v>
      </c>
      <c r="H5" s="9"/>
    </row>
    <row r="6" spans="1:8" s="4" customFormat="1" ht="33.75" customHeight="1" x14ac:dyDescent="0.65">
      <c r="A6" s="7"/>
      <c r="B6" s="15">
        <v>10000</v>
      </c>
      <c r="C6" s="16" t="s">
        <v>6</v>
      </c>
      <c r="D6" s="17">
        <f>D7+D11</f>
        <v>64933000000</v>
      </c>
      <c r="E6" s="17">
        <f>E7+E11</f>
        <v>57121000000</v>
      </c>
      <c r="F6" s="17">
        <v>33262594751</v>
      </c>
      <c r="G6" s="17">
        <f>G7+G11</f>
        <v>64933000000</v>
      </c>
      <c r="H6" s="9"/>
    </row>
    <row r="7" spans="1:8" s="4" customFormat="1" ht="29.25" customHeight="1" x14ac:dyDescent="0.65">
      <c r="A7" s="7"/>
      <c r="B7" s="18">
        <v>10100</v>
      </c>
      <c r="C7" s="19" t="s">
        <v>7</v>
      </c>
      <c r="D7" s="20">
        <f>D8+D9+D10</f>
        <v>26132000000</v>
      </c>
      <c r="E7" s="20">
        <f>E8+E9+E10</f>
        <v>21115000000</v>
      </c>
      <c r="F7" s="20">
        <v>12181716123</v>
      </c>
      <c r="G7" s="20">
        <f>G8+G9+G10</f>
        <v>26132000000</v>
      </c>
      <c r="H7" s="9"/>
    </row>
    <row r="8" spans="1:8" s="4" customFormat="1" ht="26.25" x14ac:dyDescent="0.3">
      <c r="A8" s="7"/>
      <c r="B8" s="59">
        <v>10101</v>
      </c>
      <c r="C8" s="59" t="s">
        <v>8</v>
      </c>
      <c r="D8" s="21">
        <v>24230000000</v>
      </c>
      <c r="E8" s="45">
        <f>24230000000-4130000000</f>
        <v>20100000000</v>
      </c>
      <c r="F8" s="45">
        <v>12163840678</v>
      </c>
      <c r="G8" s="21">
        <v>24230000000</v>
      </c>
      <c r="H8" s="9"/>
    </row>
    <row r="9" spans="1:8" s="4" customFormat="1" ht="26.25" x14ac:dyDescent="0.3">
      <c r="A9" s="7"/>
      <c r="B9" s="59">
        <v>10102</v>
      </c>
      <c r="C9" s="59" t="s">
        <v>64</v>
      </c>
      <c r="D9" s="21">
        <f>3295000000-2008000000</f>
        <v>1287000000</v>
      </c>
      <c r="E9" s="21">
        <f>1287000000-587000000</f>
        <v>700000000</v>
      </c>
      <c r="F9" s="21">
        <v>17875445</v>
      </c>
      <c r="G9" s="21">
        <f>3295000000-2008000000</f>
        <v>1287000000</v>
      </c>
      <c r="H9" s="9"/>
    </row>
    <row r="10" spans="1:8" s="4" customFormat="1" ht="26.25" x14ac:dyDescent="0.3">
      <c r="A10" s="7"/>
      <c r="B10" s="59">
        <v>10103</v>
      </c>
      <c r="C10" s="59" t="s">
        <v>90</v>
      </c>
      <c r="D10" s="21">
        <v>615000000</v>
      </c>
      <c r="E10" s="21">
        <f>615000000-300000000</f>
        <v>315000000</v>
      </c>
      <c r="F10" s="21">
        <v>243181824</v>
      </c>
      <c r="G10" s="21">
        <v>615000000</v>
      </c>
      <c r="H10" s="9"/>
    </row>
    <row r="11" spans="1:8" s="4" customFormat="1" ht="33.75" customHeight="1" x14ac:dyDescent="0.65">
      <c r="A11" s="7"/>
      <c r="B11" s="18">
        <v>10200</v>
      </c>
      <c r="C11" s="19" t="s">
        <v>9</v>
      </c>
      <c r="D11" s="20">
        <f>D12+D13+D14+D15+D16+D17+D18+D19</f>
        <v>38801000000</v>
      </c>
      <c r="E11" s="20">
        <f>E12+E13+E14+E15+E16+E17+E18+E19+E20</f>
        <v>36006000000</v>
      </c>
      <c r="F11" s="20">
        <v>20837696804</v>
      </c>
      <c r="G11" s="20">
        <f>G12+G13+G14+G15+G16+G17+G18+G19</f>
        <v>38801000000</v>
      </c>
      <c r="H11" s="9"/>
    </row>
    <row r="12" spans="1:8" s="4" customFormat="1" ht="26.25" x14ac:dyDescent="0.3">
      <c r="A12" s="7"/>
      <c r="B12" s="59">
        <v>10201</v>
      </c>
      <c r="C12" s="59" t="s">
        <v>10</v>
      </c>
      <c r="D12" s="21">
        <v>735000000</v>
      </c>
      <c r="E12" s="21">
        <f>735000000+205000000</f>
        <v>940000000</v>
      </c>
      <c r="F12" s="21">
        <v>481250000</v>
      </c>
      <c r="G12" s="21">
        <v>735000000</v>
      </c>
      <c r="H12" s="9"/>
    </row>
    <row r="13" spans="1:8" s="4" customFormat="1" ht="26.25" x14ac:dyDescent="0.3">
      <c r="A13" s="7"/>
      <c r="B13" s="59">
        <v>10202</v>
      </c>
      <c r="C13" s="59" t="s">
        <v>87</v>
      </c>
      <c r="D13" s="21">
        <v>830000000</v>
      </c>
      <c r="E13" s="21">
        <v>400000000</v>
      </c>
      <c r="F13" s="21">
        <v>211545375</v>
      </c>
      <c r="G13" s="21">
        <v>830000000</v>
      </c>
    </row>
    <row r="14" spans="1:8" s="4" customFormat="1" ht="26.25" x14ac:dyDescent="0.3">
      <c r="A14" s="7"/>
      <c r="B14" s="59">
        <v>10203</v>
      </c>
      <c r="C14" s="59" t="s">
        <v>11</v>
      </c>
      <c r="D14" s="21">
        <v>1640000000</v>
      </c>
      <c r="E14" s="21">
        <v>800000000</v>
      </c>
      <c r="F14" s="21">
        <v>460364958</v>
      </c>
      <c r="G14" s="21">
        <v>1640000000</v>
      </c>
      <c r="H14" s="9"/>
    </row>
    <row r="15" spans="1:8" s="4" customFormat="1" ht="26.25" x14ac:dyDescent="0.3">
      <c r="A15" s="7"/>
      <c r="B15" s="59">
        <v>10204</v>
      </c>
      <c r="C15" s="59" t="s">
        <v>12</v>
      </c>
      <c r="D15" s="21">
        <v>4300000000</v>
      </c>
      <c r="E15" s="21">
        <v>4000000000</v>
      </c>
      <c r="F15" s="21">
        <v>2404326141</v>
      </c>
      <c r="G15" s="21">
        <v>4300000000</v>
      </c>
      <c r="H15" s="9"/>
    </row>
    <row r="16" spans="1:8" s="4" customFormat="1" ht="26.25" x14ac:dyDescent="0.3">
      <c r="A16" s="7"/>
      <c r="B16" s="59">
        <v>10206</v>
      </c>
      <c r="C16" s="36" t="s">
        <v>13</v>
      </c>
      <c r="D16" s="21">
        <v>12323000000</v>
      </c>
      <c r="E16" s="21">
        <f>12323000000+1100000000</f>
        <v>13423000000</v>
      </c>
      <c r="F16" s="21">
        <v>8040873173</v>
      </c>
      <c r="G16" s="21">
        <v>12323000000</v>
      </c>
      <c r="H16" s="9"/>
    </row>
    <row r="17" spans="1:8" s="4" customFormat="1" ht="26.25" x14ac:dyDescent="0.3">
      <c r="A17" s="7"/>
      <c r="B17" s="59">
        <v>10207</v>
      </c>
      <c r="C17" s="59" t="s">
        <v>14</v>
      </c>
      <c r="D17" s="21">
        <v>14120000000</v>
      </c>
      <c r="E17" s="21">
        <v>13000000000</v>
      </c>
      <c r="F17" s="21">
        <v>7347813854</v>
      </c>
      <c r="G17" s="21">
        <v>14120000000</v>
      </c>
      <c r="H17" s="9"/>
    </row>
    <row r="18" spans="1:8" s="4" customFormat="1" ht="52.5" x14ac:dyDescent="0.3">
      <c r="A18" s="7"/>
      <c r="B18" s="59">
        <v>10208</v>
      </c>
      <c r="C18" s="62" t="s">
        <v>15</v>
      </c>
      <c r="D18" s="32">
        <v>4343000000</v>
      </c>
      <c r="E18" s="32">
        <f>4343000000-1100000000</f>
        <v>3243000000</v>
      </c>
      <c r="F18" s="32">
        <v>1782095141</v>
      </c>
      <c r="G18" s="32">
        <v>4343000000</v>
      </c>
      <c r="H18" s="9"/>
    </row>
    <row r="19" spans="1:8" s="4" customFormat="1" ht="26.25" x14ac:dyDescent="0.3">
      <c r="A19" s="7"/>
      <c r="B19" s="59">
        <v>10209</v>
      </c>
      <c r="C19" s="62" t="s">
        <v>16</v>
      </c>
      <c r="D19" s="32">
        <v>510000000</v>
      </c>
      <c r="E19" s="32">
        <v>200000000</v>
      </c>
      <c r="F19" s="32">
        <v>109428162</v>
      </c>
      <c r="G19" s="32">
        <v>510000000</v>
      </c>
      <c r="H19" s="9"/>
    </row>
    <row r="20" spans="1:8" s="4" customFormat="1" ht="26.25" x14ac:dyDescent="0.3">
      <c r="A20" s="7"/>
      <c r="B20" s="59">
        <v>10213</v>
      </c>
      <c r="C20" s="63" t="s">
        <v>88</v>
      </c>
      <c r="D20" s="32"/>
      <c r="E20" s="32"/>
      <c r="F20" s="32">
        <v>0</v>
      </c>
      <c r="G20" s="32"/>
    </row>
    <row r="21" spans="1:8" s="4" customFormat="1" ht="31.5" customHeight="1" x14ac:dyDescent="0.3">
      <c r="A21" s="7"/>
      <c r="B21" s="26">
        <v>20000</v>
      </c>
      <c r="C21" s="27" t="s">
        <v>17</v>
      </c>
      <c r="D21" s="28">
        <f>D22+D29+D35+D40+D45+D49+D55+D58+D62+D60+D64+D80+D68</f>
        <v>73061000000</v>
      </c>
      <c r="E21" s="28">
        <f>E22+E29+E35+E40+E45+E49+E55+E58+E60+E62+E64+E68+E80</f>
        <v>84437000000</v>
      </c>
      <c r="F21" s="28">
        <v>56138414700</v>
      </c>
      <c r="G21" s="28">
        <f>G22+G29+G35+G40+G45+G49+G55+G58+G62+G60+G64+G80+G68</f>
        <v>73061000000</v>
      </c>
    </row>
    <row r="22" spans="1:8" s="4" customFormat="1" ht="32.25" customHeight="1" x14ac:dyDescent="0.3">
      <c r="A22" s="7"/>
      <c r="B22" s="18">
        <v>20100</v>
      </c>
      <c r="C22" s="18" t="s">
        <v>18</v>
      </c>
      <c r="D22" s="20">
        <f>D23+D24+D25+D26+D27+D28</f>
        <v>1500000000</v>
      </c>
      <c r="E22" s="20">
        <f>E23+E24+E25+E26+E27+E28</f>
        <v>3310000000</v>
      </c>
      <c r="F22" s="20">
        <v>530684509</v>
      </c>
      <c r="G22" s="20">
        <f>G23+G24+G25+G26+G27+G28</f>
        <v>1500000000</v>
      </c>
    </row>
    <row r="23" spans="1:8" s="4" customFormat="1" ht="26.25" x14ac:dyDescent="0.3">
      <c r="A23" s="7"/>
      <c r="B23" s="59">
        <v>20101</v>
      </c>
      <c r="C23" s="59" t="s">
        <v>19</v>
      </c>
      <c r="D23" s="21">
        <f>775000000-700000000</f>
        <v>75000000</v>
      </c>
      <c r="E23" s="41">
        <f>775000000</f>
        <v>775000000</v>
      </c>
      <c r="F23" s="41">
        <v>0</v>
      </c>
      <c r="G23" s="21">
        <f>775000000-700000000</f>
        <v>75000000</v>
      </c>
    </row>
    <row r="24" spans="1:8" s="4" customFormat="1" ht="26.25" x14ac:dyDescent="0.3">
      <c r="A24" s="7"/>
      <c r="B24" s="59">
        <v>20102</v>
      </c>
      <c r="C24" s="59" t="s">
        <v>20</v>
      </c>
      <c r="D24" s="21">
        <f>1355000000-1300000000</f>
        <v>55000000</v>
      </c>
      <c r="E24" s="41">
        <f>1355000000</f>
        <v>1355000000</v>
      </c>
      <c r="F24" s="41">
        <v>3442222</v>
      </c>
      <c r="G24" s="21">
        <f>1355000000-1300000000</f>
        <v>55000000</v>
      </c>
    </row>
    <row r="25" spans="1:8" s="4" customFormat="1" ht="26.25" x14ac:dyDescent="0.3">
      <c r="A25" s="7"/>
      <c r="B25" s="59">
        <v>20103</v>
      </c>
      <c r="C25" s="59" t="s">
        <v>21</v>
      </c>
      <c r="D25" s="21">
        <v>945000000</v>
      </c>
      <c r="E25" s="21">
        <v>945000000</v>
      </c>
      <c r="F25" s="21">
        <v>527242287</v>
      </c>
      <c r="G25" s="21">
        <v>945000000</v>
      </c>
    </row>
    <row r="26" spans="1:8" s="4" customFormat="1" ht="26.25" x14ac:dyDescent="0.3">
      <c r="A26" s="7"/>
      <c r="B26" s="59">
        <v>20104</v>
      </c>
      <c r="C26" s="59" t="s">
        <v>22</v>
      </c>
      <c r="D26" s="21">
        <v>390000000</v>
      </c>
      <c r="E26" s="41">
        <f>390000000-190000000</f>
        <v>200000000</v>
      </c>
      <c r="F26" s="41">
        <v>0</v>
      </c>
      <c r="G26" s="21">
        <v>390000000</v>
      </c>
    </row>
    <row r="27" spans="1:8" s="4" customFormat="1" ht="26.25" x14ac:dyDescent="0.3">
      <c r="A27" s="7"/>
      <c r="B27" s="59">
        <v>20105</v>
      </c>
      <c r="C27" s="59" t="s">
        <v>74</v>
      </c>
      <c r="D27" s="21">
        <v>14000000</v>
      </c>
      <c r="E27" s="21">
        <v>14000000</v>
      </c>
      <c r="F27" s="21">
        <v>0</v>
      </c>
      <c r="G27" s="21">
        <v>14000000</v>
      </c>
    </row>
    <row r="28" spans="1:8" s="4" customFormat="1" ht="26.25" x14ac:dyDescent="0.3">
      <c r="A28" s="7"/>
      <c r="B28" s="59">
        <v>20106</v>
      </c>
      <c r="C28" s="59" t="s">
        <v>23</v>
      </c>
      <c r="D28" s="21">
        <v>21000000</v>
      </c>
      <c r="E28" s="21">
        <v>21000000</v>
      </c>
      <c r="F28" s="21">
        <v>0</v>
      </c>
      <c r="G28" s="21">
        <v>21000000</v>
      </c>
    </row>
    <row r="29" spans="1:8" s="4" customFormat="1" ht="31.5" customHeight="1" x14ac:dyDescent="0.3">
      <c r="A29" s="7"/>
      <c r="B29" s="18">
        <v>20200</v>
      </c>
      <c r="C29" s="47" t="s">
        <v>24</v>
      </c>
      <c r="D29" s="20">
        <f>D30+D31+D32+D33+D34</f>
        <v>65911000000</v>
      </c>
      <c r="E29" s="20">
        <f>E30+E31+E32+E33+E34</f>
        <v>72743950438</v>
      </c>
      <c r="F29" s="20">
        <v>48378100231</v>
      </c>
      <c r="G29" s="20">
        <f>G30+G31+G32+G33+G34</f>
        <v>65911000000</v>
      </c>
    </row>
    <row r="30" spans="1:8" s="4" customFormat="1" ht="26.25" x14ac:dyDescent="0.3">
      <c r="A30" s="7"/>
      <c r="B30" s="59">
        <v>20201</v>
      </c>
      <c r="C30" s="59" t="s">
        <v>25</v>
      </c>
      <c r="D30" s="21">
        <v>8446000000</v>
      </c>
      <c r="E30" s="21">
        <v>8446000000</v>
      </c>
      <c r="F30" s="21">
        <v>4301091750</v>
      </c>
      <c r="G30" s="21">
        <v>8446000000</v>
      </c>
    </row>
    <row r="31" spans="1:8" s="4" customFormat="1" ht="26.25" x14ac:dyDescent="0.3">
      <c r="A31" s="7"/>
      <c r="B31" s="59">
        <v>20202</v>
      </c>
      <c r="C31" s="59" t="s">
        <v>75</v>
      </c>
      <c r="D31" s="21">
        <v>450000000</v>
      </c>
      <c r="E31" s="21">
        <v>450000000</v>
      </c>
      <c r="F31" s="21">
        <v>378324800</v>
      </c>
      <c r="G31" s="21">
        <v>450000000</v>
      </c>
    </row>
    <row r="32" spans="1:8" s="4" customFormat="1" ht="26.25" x14ac:dyDescent="0.3">
      <c r="A32" s="7"/>
      <c r="B32" s="59">
        <v>20203</v>
      </c>
      <c r="C32" s="59" t="s">
        <v>26</v>
      </c>
      <c r="D32" s="21">
        <v>140000000</v>
      </c>
      <c r="E32" s="21">
        <v>140000000</v>
      </c>
      <c r="F32" s="21">
        <v>125685000</v>
      </c>
      <c r="G32" s="21">
        <v>140000000</v>
      </c>
    </row>
    <row r="33" spans="1:7" s="4" customFormat="1" ht="42" customHeight="1" x14ac:dyDescent="0.3">
      <c r="A33" s="7"/>
      <c r="B33" s="59">
        <v>20204</v>
      </c>
      <c r="C33" s="59" t="s">
        <v>76</v>
      </c>
      <c r="D33" s="41">
        <v>2204000000</v>
      </c>
      <c r="E33" s="41">
        <v>2707950438</v>
      </c>
      <c r="F33" s="41">
        <v>2166360350</v>
      </c>
      <c r="G33" s="41">
        <v>2204000000</v>
      </c>
    </row>
    <row r="34" spans="1:7" s="4" customFormat="1" ht="78.75" customHeight="1" x14ac:dyDescent="0.3">
      <c r="A34" s="7"/>
      <c r="B34" s="59">
        <v>20205</v>
      </c>
      <c r="C34" s="59" t="s">
        <v>77</v>
      </c>
      <c r="D34" s="21">
        <v>54671000000</v>
      </c>
      <c r="E34" s="21">
        <v>61000000000</v>
      </c>
      <c r="F34" s="21">
        <v>41406638331</v>
      </c>
      <c r="G34" s="21">
        <v>54671000000</v>
      </c>
    </row>
    <row r="35" spans="1:7" s="4" customFormat="1" ht="26.25" x14ac:dyDescent="0.65">
      <c r="A35" s="7"/>
      <c r="B35" s="29">
        <v>20300</v>
      </c>
      <c r="C35" s="30" t="s">
        <v>27</v>
      </c>
      <c r="D35" s="31">
        <f>D36+D37+D38+D39</f>
        <v>1100000000</v>
      </c>
      <c r="E35" s="31">
        <f>E36+E37+E38+E39</f>
        <v>950000000</v>
      </c>
      <c r="F35" s="31">
        <v>1148446097</v>
      </c>
      <c r="G35" s="31">
        <f>G36+G37+G38+G39</f>
        <v>1100000000</v>
      </c>
    </row>
    <row r="36" spans="1:7" s="4" customFormat="1" ht="26.25" x14ac:dyDescent="0.3">
      <c r="A36" s="7"/>
      <c r="B36" s="25">
        <v>20301</v>
      </c>
      <c r="C36" s="25" t="s">
        <v>28</v>
      </c>
      <c r="D36" s="32">
        <v>50000000</v>
      </c>
      <c r="E36" s="32">
        <v>50000000</v>
      </c>
      <c r="F36" s="32">
        <v>422013000</v>
      </c>
      <c r="G36" s="32">
        <v>50000000</v>
      </c>
    </row>
    <row r="37" spans="1:7" s="4" customFormat="1" ht="26.25" x14ac:dyDescent="0.3">
      <c r="A37" s="7"/>
      <c r="B37" s="25">
        <v>20302</v>
      </c>
      <c r="C37" s="25" t="s">
        <v>29</v>
      </c>
      <c r="D37" s="32">
        <v>30000000</v>
      </c>
      <c r="E37" s="32">
        <v>30000000</v>
      </c>
      <c r="F37" s="32">
        <v>3830315</v>
      </c>
      <c r="G37" s="32">
        <v>30000000</v>
      </c>
    </row>
    <row r="38" spans="1:7" s="4" customFormat="1" ht="26.25" x14ac:dyDescent="0.3">
      <c r="A38" s="7"/>
      <c r="B38" s="25">
        <v>20303</v>
      </c>
      <c r="C38" s="25" t="s">
        <v>30</v>
      </c>
      <c r="D38" s="32">
        <v>500000000</v>
      </c>
      <c r="E38" s="32">
        <f>500000000-150000000</f>
        <v>350000000</v>
      </c>
      <c r="F38" s="32">
        <v>221003055</v>
      </c>
      <c r="G38" s="32">
        <v>500000000</v>
      </c>
    </row>
    <row r="39" spans="1:7" s="4" customFormat="1" ht="26.25" x14ac:dyDescent="0.3">
      <c r="A39" s="7"/>
      <c r="B39" s="25">
        <v>20304</v>
      </c>
      <c r="C39" s="25" t="s">
        <v>31</v>
      </c>
      <c r="D39" s="32">
        <v>520000000</v>
      </c>
      <c r="E39" s="32">
        <v>520000000</v>
      </c>
      <c r="F39" s="32">
        <v>501599727</v>
      </c>
      <c r="G39" s="32">
        <v>520000000</v>
      </c>
    </row>
    <row r="40" spans="1:7" s="4" customFormat="1" ht="33.75" customHeight="1" x14ac:dyDescent="0.3">
      <c r="A40" s="7"/>
      <c r="B40" s="18">
        <v>20400</v>
      </c>
      <c r="C40" s="29" t="s">
        <v>32</v>
      </c>
      <c r="D40" s="20">
        <f>D41+D43+D44</f>
        <v>350000000</v>
      </c>
      <c r="E40" s="20">
        <f>E41+E43+E44</f>
        <v>350000000</v>
      </c>
      <c r="F40" s="20">
        <v>985379660</v>
      </c>
      <c r="G40" s="20">
        <f>G41+G43+G44</f>
        <v>350000000</v>
      </c>
    </row>
    <row r="41" spans="1:7" s="4" customFormat="1" ht="26.25" x14ac:dyDescent="0.3">
      <c r="A41" s="7"/>
      <c r="B41" s="25">
        <v>20401</v>
      </c>
      <c r="C41" s="25" t="s">
        <v>33</v>
      </c>
      <c r="D41" s="38">
        <v>60000000</v>
      </c>
      <c r="E41" s="38">
        <f>60000000+20000000</f>
        <v>80000000</v>
      </c>
      <c r="F41" s="38">
        <v>287887800</v>
      </c>
      <c r="G41" s="38">
        <v>60000000</v>
      </c>
    </row>
    <row r="42" spans="1:7" s="4" customFormat="1" ht="36.75" customHeight="1" x14ac:dyDescent="0.3">
      <c r="A42" s="7"/>
      <c r="B42" s="25">
        <v>20402</v>
      </c>
      <c r="C42" s="59" t="s">
        <v>34</v>
      </c>
      <c r="D42" s="32"/>
      <c r="E42" s="32"/>
      <c r="F42" s="32">
        <v>0</v>
      </c>
      <c r="G42" s="32"/>
    </row>
    <row r="43" spans="1:7" s="4" customFormat="1" ht="26.25" x14ac:dyDescent="0.3">
      <c r="A43" s="7"/>
      <c r="B43" s="25">
        <v>20403</v>
      </c>
      <c r="C43" s="25" t="s">
        <v>35</v>
      </c>
      <c r="D43" s="32">
        <v>220000000</v>
      </c>
      <c r="E43" s="32">
        <f>220000000-20000000</f>
        <v>200000000</v>
      </c>
      <c r="F43" s="32">
        <v>295560100</v>
      </c>
      <c r="G43" s="32">
        <v>220000000</v>
      </c>
    </row>
    <row r="44" spans="1:7" s="4" customFormat="1" ht="26.25" x14ac:dyDescent="0.3">
      <c r="A44" s="7"/>
      <c r="B44" s="25">
        <v>20404</v>
      </c>
      <c r="C44" s="25" t="s">
        <v>36</v>
      </c>
      <c r="D44" s="32">
        <v>70000000</v>
      </c>
      <c r="E44" s="32">
        <v>70000000</v>
      </c>
      <c r="F44" s="32">
        <v>401931760</v>
      </c>
      <c r="G44" s="32">
        <v>70000000</v>
      </c>
    </row>
    <row r="45" spans="1:7" s="4" customFormat="1" ht="26.25" x14ac:dyDescent="0.3">
      <c r="A45" s="7"/>
      <c r="B45" s="29">
        <v>20500</v>
      </c>
      <c r="C45" s="29" t="s">
        <v>81</v>
      </c>
      <c r="D45" s="31">
        <f>D46+D47+D48</f>
        <v>400000000</v>
      </c>
      <c r="E45" s="31">
        <f>E46+E47+E48</f>
        <v>1070000000</v>
      </c>
      <c r="F45" s="31">
        <v>895999050</v>
      </c>
      <c r="G45" s="31">
        <f>G46+G47+G48</f>
        <v>400000000</v>
      </c>
    </row>
    <row r="46" spans="1:7" s="4" customFormat="1" ht="26.25" x14ac:dyDescent="0.3">
      <c r="A46" s="7"/>
      <c r="B46" s="25">
        <v>20502</v>
      </c>
      <c r="C46" s="25" t="s">
        <v>78</v>
      </c>
      <c r="D46" s="32">
        <v>300000000</v>
      </c>
      <c r="E46" s="32">
        <f>300000000+200000000</f>
        <v>500000000</v>
      </c>
      <c r="F46" s="32">
        <v>449015600</v>
      </c>
      <c r="G46" s="32">
        <v>300000000</v>
      </c>
    </row>
    <row r="47" spans="1:7" s="4" customFormat="1" ht="26.25" x14ac:dyDescent="0.3">
      <c r="A47" s="7"/>
      <c r="B47" s="25">
        <v>20504</v>
      </c>
      <c r="C47" s="25" t="s">
        <v>79</v>
      </c>
      <c r="D47" s="32">
        <v>20000000</v>
      </c>
      <c r="E47" s="32">
        <f>20000000+150000000</f>
        <v>170000000</v>
      </c>
      <c r="F47" s="32">
        <v>92000000</v>
      </c>
      <c r="G47" s="32">
        <v>20000000</v>
      </c>
    </row>
    <row r="48" spans="1:7" s="4" customFormat="1" ht="26.25" x14ac:dyDescent="0.3">
      <c r="A48" s="7"/>
      <c r="B48" s="25">
        <v>20505</v>
      </c>
      <c r="C48" s="25" t="s">
        <v>80</v>
      </c>
      <c r="D48" s="32">
        <v>80000000</v>
      </c>
      <c r="E48" s="32">
        <f>80000000+320000000</f>
        <v>400000000</v>
      </c>
      <c r="F48" s="32">
        <v>354983450</v>
      </c>
      <c r="G48" s="32">
        <v>80000000</v>
      </c>
    </row>
    <row r="49" spans="1:7" s="4" customFormat="1" ht="35.25" customHeight="1" x14ac:dyDescent="0.3">
      <c r="A49" s="7"/>
      <c r="B49" s="29">
        <v>20600</v>
      </c>
      <c r="C49" s="29" t="s">
        <v>37</v>
      </c>
      <c r="D49" s="31">
        <f>D50+D51+D52+D53+D54</f>
        <v>590000000</v>
      </c>
      <c r="E49" s="31">
        <f>E50+E51+E52+E53+E54</f>
        <v>1477000000</v>
      </c>
      <c r="F49" s="31">
        <v>840575000</v>
      </c>
      <c r="G49" s="31">
        <f>G50+G51+G52+G53+G54</f>
        <v>590000000</v>
      </c>
    </row>
    <row r="50" spans="1:7" s="4" customFormat="1" ht="26.25" x14ac:dyDescent="0.3">
      <c r="A50" s="7"/>
      <c r="B50" s="25">
        <v>20601</v>
      </c>
      <c r="C50" s="25" t="s">
        <v>92</v>
      </c>
      <c r="D50" s="32">
        <v>250000000</v>
      </c>
      <c r="E50" s="38">
        <f>250000000+950000000</f>
        <v>1200000000</v>
      </c>
      <c r="F50" s="38">
        <v>572615000</v>
      </c>
      <c r="G50" s="32">
        <v>250000000</v>
      </c>
    </row>
    <row r="51" spans="1:7" s="4" customFormat="1" ht="26.25" x14ac:dyDescent="0.3">
      <c r="A51" s="7"/>
      <c r="B51" s="25">
        <v>20602</v>
      </c>
      <c r="C51" s="25" t="s">
        <v>38</v>
      </c>
      <c r="D51" s="32">
        <v>12000000</v>
      </c>
      <c r="E51" s="32">
        <v>12000000</v>
      </c>
      <c r="F51" s="32">
        <v>0</v>
      </c>
      <c r="G51" s="32">
        <v>12000000</v>
      </c>
    </row>
    <row r="52" spans="1:7" s="4" customFormat="1" ht="26.25" x14ac:dyDescent="0.3">
      <c r="A52" s="7"/>
      <c r="B52" s="25">
        <v>20603</v>
      </c>
      <c r="C52" s="25" t="s">
        <v>39</v>
      </c>
      <c r="D52" s="32">
        <v>48000000</v>
      </c>
      <c r="E52" s="32">
        <f>48000000+152000000</f>
        <v>200000000</v>
      </c>
      <c r="F52" s="32">
        <v>253600000</v>
      </c>
      <c r="G52" s="32">
        <v>48000000</v>
      </c>
    </row>
    <row r="53" spans="1:7" s="4" customFormat="1" ht="26.25" x14ac:dyDescent="0.3">
      <c r="A53" s="7"/>
      <c r="B53" s="25">
        <v>20604</v>
      </c>
      <c r="C53" s="25" t="s">
        <v>40</v>
      </c>
      <c r="D53" s="32">
        <v>265000000</v>
      </c>
      <c r="E53" s="32">
        <f>265000000-215000000</f>
        <v>50000000</v>
      </c>
      <c r="F53" s="32">
        <v>14360000</v>
      </c>
      <c r="G53" s="32">
        <v>265000000</v>
      </c>
    </row>
    <row r="54" spans="1:7" s="4" customFormat="1" ht="26.25" x14ac:dyDescent="0.3">
      <c r="A54" s="7"/>
      <c r="B54" s="25">
        <v>20605</v>
      </c>
      <c r="C54" s="25" t="s">
        <v>99</v>
      </c>
      <c r="D54" s="32">
        <v>15000000</v>
      </c>
      <c r="E54" s="32">
        <v>15000000</v>
      </c>
      <c r="F54" s="32">
        <v>2400000</v>
      </c>
      <c r="G54" s="32">
        <v>15000000</v>
      </c>
    </row>
    <row r="55" spans="1:7" s="4" customFormat="1" ht="32.25" customHeight="1" x14ac:dyDescent="0.3">
      <c r="A55" s="7"/>
      <c r="B55" s="29">
        <v>20700</v>
      </c>
      <c r="C55" s="29" t="s">
        <v>41</v>
      </c>
      <c r="D55" s="31">
        <f>D56+D57</f>
        <v>140000000</v>
      </c>
      <c r="E55" s="31">
        <f>E56+E57</f>
        <v>300000000</v>
      </c>
      <c r="F55" s="31">
        <v>300000000</v>
      </c>
      <c r="G55" s="31">
        <f>G56+G57</f>
        <v>140000000</v>
      </c>
    </row>
    <row r="56" spans="1:7" s="4" customFormat="1" ht="26.25" x14ac:dyDescent="0.3">
      <c r="A56" s="7"/>
      <c r="B56" s="25">
        <v>20701</v>
      </c>
      <c r="C56" s="59" t="s">
        <v>42</v>
      </c>
      <c r="D56" s="32">
        <v>20000000</v>
      </c>
      <c r="E56" s="32">
        <f>20000000-20000000</f>
        <v>0</v>
      </c>
      <c r="F56" s="32">
        <v>0</v>
      </c>
      <c r="G56" s="32">
        <v>20000000</v>
      </c>
    </row>
    <row r="57" spans="1:7" s="4" customFormat="1" ht="26.25" x14ac:dyDescent="0.3">
      <c r="A57" s="7"/>
      <c r="B57" s="25">
        <v>20702</v>
      </c>
      <c r="C57" s="59" t="s">
        <v>65</v>
      </c>
      <c r="D57" s="32">
        <v>120000000</v>
      </c>
      <c r="E57" s="32">
        <f>120000000+180000000</f>
        <v>300000000</v>
      </c>
      <c r="F57" s="32">
        <v>300000000</v>
      </c>
      <c r="G57" s="32">
        <v>120000000</v>
      </c>
    </row>
    <row r="58" spans="1:7" s="4" customFormat="1" ht="29.25" customHeight="1" x14ac:dyDescent="0.3">
      <c r="A58" s="7"/>
      <c r="B58" s="29">
        <v>20800</v>
      </c>
      <c r="C58" s="29" t="s">
        <v>43</v>
      </c>
      <c r="D58" s="31">
        <f>D59</f>
        <v>400000000</v>
      </c>
      <c r="E58" s="31">
        <f>E59</f>
        <v>800000000</v>
      </c>
      <c r="F58" s="31">
        <v>660953495</v>
      </c>
      <c r="G58" s="31">
        <f>G59</f>
        <v>400000000</v>
      </c>
    </row>
    <row r="59" spans="1:7" s="4" customFormat="1" ht="26.25" x14ac:dyDescent="0.3">
      <c r="A59" s="7"/>
      <c r="B59" s="25">
        <v>20801</v>
      </c>
      <c r="C59" s="25" t="s">
        <v>44</v>
      </c>
      <c r="D59" s="32">
        <v>400000000</v>
      </c>
      <c r="E59" s="32">
        <f>400000000+400000000</f>
        <v>800000000</v>
      </c>
      <c r="F59" s="32">
        <v>660953495</v>
      </c>
      <c r="G59" s="32">
        <v>400000000</v>
      </c>
    </row>
    <row r="60" spans="1:7" s="4" customFormat="1" ht="26.25" x14ac:dyDescent="0.3">
      <c r="A60" s="7"/>
      <c r="B60" s="29">
        <v>20900</v>
      </c>
      <c r="C60" s="29" t="s">
        <v>96</v>
      </c>
      <c r="D60" s="31">
        <f>D61</f>
        <v>20000000</v>
      </c>
      <c r="E60" s="31">
        <f>E61</f>
        <v>250000000</v>
      </c>
      <c r="F60" s="31">
        <v>280000</v>
      </c>
      <c r="G60" s="31">
        <f>G61</f>
        <v>20000000</v>
      </c>
    </row>
    <row r="61" spans="1:7" s="4" customFormat="1" ht="26.25" x14ac:dyDescent="0.3">
      <c r="A61" s="7"/>
      <c r="B61" s="25">
        <v>20901</v>
      </c>
      <c r="C61" s="59" t="s">
        <v>108</v>
      </c>
      <c r="D61" s="32">
        <v>20000000</v>
      </c>
      <c r="E61" s="32">
        <f>20000000+230000000</f>
        <v>250000000</v>
      </c>
      <c r="F61" s="32">
        <v>280000</v>
      </c>
      <c r="G61" s="32">
        <v>20000000</v>
      </c>
    </row>
    <row r="62" spans="1:7" s="4" customFormat="1" ht="33.75" customHeight="1" x14ac:dyDescent="0.3">
      <c r="A62" s="7"/>
      <c r="B62" s="29">
        <v>21000</v>
      </c>
      <c r="C62" s="29" t="s">
        <v>45</v>
      </c>
      <c r="D62" s="31">
        <f>D63</f>
        <v>20000000</v>
      </c>
      <c r="E62" s="31">
        <f>E63</f>
        <v>20000000</v>
      </c>
      <c r="F62" s="31">
        <v>2399000</v>
      </c>
      <c r="G62" s="31">
        <f>G63</f>
        <v>20000000</v>
      </c>
    </row>
    <row r="63" spans="1:7" s="4" customFormat="1" ht="26.25" x14ac:dyDescent="0.3">
      <c r="A63" s="7"/>
      <c r="B63" s="25">
        <v>21001</v>
      </c>
      <c r="C63" s="25" t="s">
        <v>46</v>
      </c>
      <c r="D63" s="32">
        <v>20000000</v>
      </c>
      <c r="E63" s="32">
        <v>20000000</v>
      </c>
      <c r="F63" s="32">
        <v>2399000</v>
      </c>
      <c r="G63" s="32">
        <v>20000000</v>
      </c>
    </row>
    <row r="64" spans="1:7" s="4" customFormat="1" ht="34.5" customHeight="1" x14ac:dyDescent="0.3">
      <c r="A64" s="7"/>
      <c r="B64" s="29">
        <v>21100</v>
      </c>
      <c r="C64" s="29" t="s">
        <v>47</v>
      </c>
      <c r="D64" s="31">
        <f>D65+D66+D67</f>
        <v>1440000000</v>
      </c>
      <c r="E64" s="31">
        <f>E65+E66+E67</f>
        <v>1088049562</v>
      </c>
      <c r="F64" s="31">
        <v>763709263</v>
      </c>
      <c r="G64" s="31">
        <f>G65+G66+G67</f>
        <v>1440000000</v>
      </c>
    </row>
    <row r="65" spans="1:7" s="4" customFormat="1" ht="26.25" x14ac:dyDescent="0.3">
      <c r="A65" s="7"/>
      <c r="B65" s="25">
        <v>21101</v>
      </c>
      <c r="C65" s="46" t="s">
        <v>48</v>
      </c>
      <c r="D65" s="32">
        <v>100000000</v>
      </c>
      <c r="E65" s="32">
        <v>100000000</v>
      </c>
      <c r="F65" s="32">
        <v>5747000</v>
      </c>
      <c r="G65" s="32">
        <v>100000000</v>
      </c>
    </row>
    <row r="66" spans="1:7" s="4" customFormat="1" ht="52.5" x14ac:dyDescent="0.3">
      <c r="A66" s="7"/>
      <c r="B66" s="25">
        <v>21102</v>
      </c>
      <c r="C66" s="59" t="s">
        <v>100</v>
      </c>
      <c r="D66" s="32">
        <v>890000000</v>
      </c>
      <c r="E66" s="32">
        <v>890000000</v>
      </c>
      <c r="F66" s="32">
        <v>222563263</v>
      </c>
      <c r="G66" s="32">
        <v>890000000</v>
      </c>
    </row>
    <row r="67" spans="1:7" s="4" customFormat="1" ht="26.25" x14ac:dyDescent="0.3">
      <c r="A67" s="7"/>
      <c r="B67" s="25">
        <v>21103</v>
      </c>
      <c r="C67" s="65" t="s">
        <v>49</v>
      </c>
      <c r="D67" s="32">
        <f>710000000-260000000</f>
        <v>450000000</v>
      </c>
      <c r="E67" s="66">
        <f>710000000-300000000-311950438</f>
        <v>98049562</v>
      </c>
      <c r="F67" s="32">
        <v>535399000</v>
      </c>
      <c r="G67" s="32">
        <f>710000000-260000000</f>
        <v>450000000</v>
      </c>
    </row>
    <row r="68" spans="1:7" s="4" customFormat="1" ht="35.25" customHeight="1" x14ac:dyDescent="0.3">
      <c r="A68" s="7"/>
      <c r="B68" s="29">
        <v>21200</v>
      </c>
      <c r="C68" s="29" t="s">
        <v>50</v>
      </c>
      <c r="D68" s="31">
        <f>D69+D70+D71+D72+D73+D74+D75+D76</f>
        <v>610000000</v>
      </c>
      <c r="E68" s="31">
        <f>E69+E70+E71+E72+E73+E74+E75+E76</f>
        <v>1498000000</v>
      </c>
      <c r="F68" s="31">
        <v>1104578395</v>
      </c>
      <c r="G68" s="31">
        <f>G69+G70+G71+G72+G73+G74+G75+G76</f>
        <v>610000000</v>
      </c>
    </row>
    <row r="69" spans="1:7" s="4" customFormat="1" ht="26.25" x14ac:dyDescent="0.3">
      <c r="A69" s="7"/>
      <c r="B69" s="25">
        <v>21201</v>
      </c>
      <c r="C69" s="25" t="s">
        <v>66</v>
      </c>
      <c r="D69" s="32">
        <v>60000000</v>
      </c>
      <c r="E69" s="32">
        <v>60000000</v>
      </c>
      <c r="F69" s="32">
        <v>58262800</v>
      </c>
      <c r="G69" s="32">
        <v>60000000</v>
      </c>
    </row>
    <row r="70" spans="1:7" s="4" customFormat="1" ht="26.25" x14ac:dyDescent="0.3">
      <c r="A70" s="7"/>
      <c r="B70" s="25">
        <v>21202</v>
      </c>
      <c r="C70" s="59" t="s">
        <v>67</v>
      </c>
      <c r="D70" s="32">
        <v>60000000</v>
      </c>
      <c r="E70" s="32">
        <f>60000000+240000000</f>
        <v>300000000</v>
      </c>
      <c r="F70" s="32">
        <v>195218810</v>
      </c>
      <c r="G70" s="32">
        <v>60000000</v>
      </c>
    </row>
    <row r="71" spans="1:7" s="4" customFormat="1" ht="26.25" x14ac:dyDescent="0.3">
      <c r="A71" s="7"/>
      <c r="B71" s="25">
        <v>21203</v>
      </c>
      <c r="C71" s="59" t="s">
        <v>68</v>
      </c>
      <c r="D71" s="32">
        <v>20000000</v>
      </c>
      <c r="E71" s="32">
        <v>20000000</v>
      </c>
      <c r="F71" s="32">
        <v>9240440</v>
      </c>
      <c r="G71" s="32">
        <v>20000000</v>
      </c>
    </row>
    <row r="72" spans="1:7" s="4" customFormat="1" ht="26.25" x14ac:dyDescent="0.3">
      <c r="A72" s="7"/>
      <c r="B72" s="25">
        <v>21204</v>
      </c>
      <c r="C72" s="59" t="s">
        <v>69</v>
      </c>
      <c r="D72" s="32">
        <v>202000000</v>
      </c>
      <c r="E72" s="32">
        <f>202000000+198000000</f>
        <v>400000000</v>
      </c>
      <c r="F72" s="32">
        <v>361619608</v>
      </c>
      <c r="G72" s="32">
        <v>202000000</v>
      </c>
    </row>
    <row r="73" spans="1:7" s="4" customFormat="1" ht="26.25" x14ac:dyDescent="0.3">
      <c r="A73" s="7"/>
      <c r="B73" s="25">
        <v>21205</v>
      </c>
      <c r="C73" s="59" t="s">
        <v>70</v>
      </c>
      <c r="D73" s="32">
        <v>58000000</v>
      </c>
      <c r="E73" s="32">
        <v>58000000</v>
      </c>
      <c r="F73" s="32">
        <v>24926000</v>
      </c>
      <c r="G73" s="32">
        <v>58000000</v>
      </c>
    </row>
    <row r="74" spans="1:7" s="4" customFormat="1" ht="26.25" x14ac:dyDescent="0.3">
      <c r="A74" s="7"/>
      <c r="B74" s="25">
        <v>21206</v>
      </c>
      <c r="C74" s="59" t="s">
        <v>95</v>
      </c>
      <c r="D74" s="32">
        <v>200000000</v>
      </c>
      <c r="E74" s="32">
        <f>200000000+100000000</f>
        <v>300000000</v>
      </c>
      <c r="F74" s="32">
        <v>211539000</v>
      </c>
      <c r="G74" s="32">
        <v>200000000</v>
      </c>
    </row>
    <row r="75" spans="1:7" s="4" customFormat="1" ht="26.25" x14ac:dyDescent="0.3">
      <c r="A75" s="7"/>
      <c r="B75" s="25">
        <v>21207</v>
      </c>
      <c r="C75" s="59" t="s">
        <v>71</v>
      </c>
      <c r="D75" s="32">
        <v>5000000</v>
      </c>
      <c r="E75" s="32">
        <f>5000000+350000000</f>
        <v>355000000</v>
      </c>
      <c r="F75" s="32">
        <v>216421737</v>
      </c>
      <c r="G75" s="32">
        <v>5000000</v>
      </c>
    </row>
    <row r="76" spans="1:7" s="4" customFormat="1" ht="26.25" x14ac:dyDescent="0.3">
      <c r="A76" s="7"/>
      <c r="B76" s="25">
        <v>21208</v>
      </c>
      <c r="C76" s="59" t="s">
        <v>51</v>
      </c>
      <c r="D76" s="32">
        <v>5000000</v>
      </c>
      <c r="E76" s="32">
        <v>5000000</v>
      </c>
      <c r="F76" s="32">
        <v>27350000</v>
      </c>
      <c r="G76" s="32">
        <v>5000000</v>
      </c>
    </row>
    <row r="77" spans="1:7" s="4" customFormat="1" ht="26.25" x14ac:dyDescent="0.3">
      <c r="A77" s="7"/>
      <c r="B77" s="25">
        <v>21209</v>
      </c>
      <c r="C77" s="59" t="s">
        <v>98</v>
      </c>
      <c r="D77" s="32"/>
      <c r="E77" s="32"/>
      <c r="F77" s="32">
        <v>0</v>
      </c>
      <c r="G77" s="32"/>
    </row>
    <row r="78" spans="1:7" s="4" customFormat="1" ht="26.25" x14ac:dyDescent="0.3">
      <c r="A78" s="7"/>
      <c r="B78" s="25">
        <v>21211</v>
      </c>
      <c r="C78" s="46" t="s">
        <v>85</v>
      </c>
      <c r="D78" s="32"/>
      <c r="E78" s="32"/>
      <c r="F78" s="32">
        <v>0</v>
      </c>
      <c r="G78" s="32"/>
    </row>
    <row r="79" spans="1:7" s="4" customFormat="1" ht="26.25" x14ac:dyDescent="0.3">
      <c r="A79" s="7"/>
      <c r="B79" s="25">
        <v>21212</v>
      </c>
      <c r="C79" s="46" t="s">
        <v>86</v>
      </c>
      <c r="D79" s="32"/>
      <c r="E79" s="32"/>
      <c r="F79" s="32">
        <v>0</v>
      </c>
      <c r="G79" s="32"/>
    </row>
    <row r="80" spans="1:7" s="4" customFormat="1" ht="41.25" customHeight="1" x14ac:dyDescent="0.3">
      <c r="A80" s="7"/>
      <c r="B80" s="29">
        <v>21300</v>
      </c>
      <c r="C80" s="29" t="s">
        <v>52</v>
      </c>
      <c r="D80" s="31">
        <f>D81+D82</f>
        <v>580000000</v>
      </c>
      <c r="E80" s="31">
        <f>E81+E82</f>
        <v>580000000</v>
      </c>
      <c r="F80" s="31">
        <v>524910000</v>
      </c>
      <c r="G80" s="31">
        <f>G81+G82</f>
        <v>580000000</v>
      </c>
    </row>
    <row r="81" spans="1:8" s="4" customFormat="1" ht="26.25" x14ac:dyDescent="0.3">
      <c r="A81" s="7"/>
      <c r="B81" s="25">
        <v>21301</v>
      </c>
      <c r="C81" s="59" t="s">
        <v>73</v>
      </c>
      <c r="D81" s="32">
        <v>380000000</v>
      </c>
      <c r="E81" s="32">
        <f>380000000+170000000</f>
        <v>550000000</v>
      </c>
      <c r="F81" s="32">
        <v>512120000</v>
      </c>
      <c r="G81" s="32">
        <v>380000000</v>
      </c>
    </row>
    <row r="82" spans="1:8" s="4" customFormat="1" ht="26.25" x14ac:dyDescent="0.3">
      <c r="A82" s="7"/>
      <c r="B82" s="25">
        <v>21302</v>
      </c>
      <c r="C82" s="59" t="s">
        <v>72</v>
      </c>
      <c r="D82" s="32">
        <v>200000000</v>
      </c>
      <c r="E82" s="32">
        <f>200000000-170000000</f>
        <v>30000000</v>
      </c>
      <c r="F82" s="32">
        <v>12790000</v>
      </c>
      <c r="G82" s="32">
        <v>200000000</v>
      </c>
    </row>
    <row r="83" spans="1:8" s="4" customFormat="1" ht="31.5" customHeight="1" x14ac:dyDescent="0.3">
      <c r="A83" s="7"/>
      <c r="B83" s="33">
        <v>60000</v>
      </c>
      <c r="C83" s="33" t="s">
        <v>53</v>
      </c>
      <c r="D83" s="28">
        <f>D84+D88</f>
        <v>33550000000</v>
      </c>
      <c r="E83" s="28">
        <f>E84+E88</f>
        <v>31922000000</v>
      </c>
      <c r="F83" s="28">
        <v>23381425426</v>
      </c>
      <c r="G83" s="28">
        <f>G84+G88</f>
        <v>33550000000</v>
      </c>
    </row>
    <row r="84" spans="1:8" s="4" customFormat="1" ht="36" customHeight="1" x14ac:dyDescent="0.65">
      <c r="A84" s="7"/>
      <c r="B84" s="29">
        <v>60100</v>
      </c>
      <c r="C84" s="34" t="s">
        <v>54</v>
      </c>
      <c r="D84" s="31">
        <f>D85+D86+D87</f>
        <v>9005000000</v>
      </c>
      <c r="E84" s="31">
        <f>E85+E86+E87</f>
        <v>7932000000</v>
      </c>
      <c r="F84" s="31">
        <v>4460568027</v>
      </c>
      <c r="G84" s="31">
        <f>G85+G86+G87</f>
        <v>9005000000</v>
      </c>
    </row>
    <row r="85" spans="1:8" s="3" customFormat="1" ht="26.25" x14ac:dyDescent="0.3">
      <c r="A85" s="8"/>
      <c r="B85" s="25">
        <v>60101</v>
      </c>
      <c r="C85" s="25" t="s">
        <v>55</v>
      </c>
      <c r="D85" s="32">
        <v>442000000</v>
      </c>
      <c r="E85" s="32">
        <v>442000000</v>
      </c>
      <c r="F85" s="32">
        <v>221379816</v>
      </c>
      <c r="G85" s="32">
        <v>442000000</v>
      </c>
    </row>
    <row r="86" spans="1:8" s="3" customFormat="1" ht="45.75" customHeight="1" x14ac:dyDescent="0.3">
      <c r="A86" s="8"/>
      <c r="B86" s="25">
        <v>60102</v>
      </c>
      <c r="C86" s="59" t="s">
        <v>56</v>
      </c>
      <c r="D86" s="32">
        <f>9421000000-1038000000</f>
        <v>8383000000</v>
      </c>
      <c r="E86" s="32">
        <v>7310000000</v>
      </c>
      <c r="F86" s="32">
        <v>4157195691</v>
      </c>
      <c r="G86" s="32">
        <f>9421000000-1038000000</f>
        <v>8383000000</v>
      </c>
    </row>
    <row r="87" spans="1:8" s="3" customFormat="1" ht="26.25" x14ac:dyDescent="0.3">
      <c r="A87" s="8"/>
      <c r="B87" s="25">
        <v>60103</v>
      </c>
      <c r="C87" s="59" t="s">
        <v>82</v>
      </c>
      <c r="D87" s="32">
        <v>180000000</v>
      </c>
      <c r="E87" s="32">
        <v>180000000</v>
      </c>
      <c r="F87" s="32">
        <v>81992520</v>
      </c>
      <c r="G87" s="32">
        <v>180000000</v>
      </c>
    </row>
    <row r="88" spans="1:8" s="3" customFormat="1" ht="35.25" customHeight="1" x14ac:dyDescent="0.3">
      <c r="A88" s="8"/>
      <c r="B88" s="29">
        <v>60200</v>
      </c>
      <c r="C88" s="35" t="s">
        <v>57</v>
      </c>
      <c r="D88" s="31">
        <f>D89+D90+D91+D93+D94+D95</f>
        <v>24545000000</v>
      </c>
      <c r="E88" s="31">
        <f>E89+E90+E91+E93+E94+E95</f>
        <v>23990000000</v>
      </c>
      <c r="F88" s="31">
        <v>18920857399</v>
      </c>
      <c r="G88" s="31">
        <f>G89+G90+G91+G93+G94+G95</f>
        <v>24545000000</v>
      </c>
    </row>
    <row r="89" spans="1:8" s="3" customFormat="1" ht="26.25" x14ac:dyDescent="0.3">
      <c r="A89" s="8"/>
      <c r="B89" s="25">
        <v>60201</v>
      </c>
      <c r="C89" s="25" t="s">
        <v>58</v>
      </c>
      <c r="D89" s="32">
        <v>1120000000</v>
      </c>
      <c r="E89" s="32">
        <v>1120000000</v>
      </c>
      <c r="F89" s="32">
        <v>711427200</v>
      </c>
      <c r="G89" s="32">
        <v>1120000000</v>
      </c>
    </row>
    <row r="90" spans="1:8" s="3" customFormat="1" ht="26.25" x14ac:dyDescent="0.3">
      <c r="A90" s="8"/>
      <c r="B90" s="25">
        <v>60202</v>
      </c>
      <c r="C90" s="25" t="s">
        <v>59</v>
      </c>
      <c r="D90" s="32">
        <v>970000000</v>
      </c>
      <c r="E90" s="32">
        <v>970000000</v>
      </c>
      <c r="F90" s="32">
        <v>647770000</v>
      </c>
      <c r="G90" s="32">
        <v>970000000</v>
      </c>
    </row>
    <row r="91" spans="1:8" s="3" customFormat="1" ht="26.25" x14ac:dyDescent="0.3">
      <c r="A91" s="8"/>
      <c r="B91" s="25">
        <v>60203</v>
      </c>
      <c r="C91" s="25" t="s">
        <v>93</v>
      </c>
      <c r="D91" s="32">
        <v>5000000000</v>
      </c>
      <c r="E91" s="32">
        <f>5000000000-2500000000</f>
        <v>2500000000</v>
      </c>
      <c r="F91" s="32">
        <v>512723824</v>
      </c>
      <c r="G91" s="32">
        <v>5000000000</v>
      </c>
    </row>
    <row r="92" spans="1:8" s="3" customFormat="1" ht="52.5" x14ac:dyDescent="0.3">
      <c r="A92" s="8"/>
      <c r="B92" s="25">
        <v>60204</v>
      </c>
      <c r="C92" s="59" t="s">
        <v>94</v>
      </c>
      <c r="D92" s="32"/>
      <c r="E92" s="32">
        <f>50000000</f>
        <v>50000000</v>
      </c>
      <c r="F92" s="32">
        <v>0</v>
      </c>
      <c r="G92" s="32"/>
    </row>
    <row r="93" spans="1:8" s="3" customFormat="1" ht="26.25" x14ac:dyDescent="0.3">
      <c r="A93" s="8"/>
      <c r="B93" s="25">
        <v>60205</v>
      </c>
      <c r="C93" s="25" t="s">
        <v>60</v>
      </c>
      <c r="D93" s="32">
        <v>200000000</v>
      </c>
      <c r="E93" s="32">
        <v>200000000</v>
      </c>
      <c r="F93" s="32">
        <v>47541000</v>
      </c>
      <c r="G93" s="32">
        <v>200000000</v>
      </c>
    </row>
    <row r="94" spans="1:8" s="3" customFormat="1" ht="51" customHeight="1" x14ac:dyDescent="0.3">
      <c r="A94" s="8"/>
      <c r="B94" s="25">
        <v>60206</v>
      </c>
      <c r="C94" s="25" t="s">
        <v>83</v>
      </c>
      <c r="D94" s="32">
        <v>2700000000</v>
      </c>
      <c r="E94" s="32">
        <f>2700000000+500000000</f>
        <v>3200000000</v>
      </c>
      <c r="F94" s="32">
        <v>2565679328</v>
      </c>
      <c r="G94" s="32">
        <v>2700000000</v>
      </c>
    </row>
    <row r="95" spans="1:8" s="3" customFormat="1" ht="26.25" x14ac:dyDescent="0.3">
      <c r="A95" s="8"/>
      <c r="B95" s="25">
        <v>60207</v>
      </c>
      <c r="C95" s="25" t="s">
        <v>84</v>
      </c>
      <c r="D95" s="32">
        <v>14555000000</v>
      </c>
      <c r="E95" s="32">
        <f>14555000000+1445000000</f>
        <v>16000000000</v>
      </c>
      <c r="F95" s="32">
        <v>14435716047</v>
      </c>
      <c r="G95" s="32">
        <v>14555000000</v>
      </c>
      <c r="H95" s="11"/>
    </row>
    <row r="96" spans="1:8" s="3" customFormat="1" ht="26.25" x14ac:dyDescent="0.3">
      <c r="A96" s="8"/>
      <c r="B96" s="28">
        <v>70000</v>
      </c>
      <c r="C96" s="28" t="s">
        <v>61</v>
      </c>
      <c r="D96" s="28">
        <f>D97</f>
        <v>2086000000</v>
      </c>
      <c r="E96" s="28">
        <f>E97</f>
        <v>150000000</v>
      </c>
      <c r="F96" s="28">
        <v>20138900</v>
      </c>
      <c r="G96" s="28">
        <f>G97</f>
        <v>2086000000</v>
      </c>
    </row>
    <row r="97" spans="1:7" s="3" customFormat="1" ht="33" customHeight="1" x14ac:dyDescent="0.3">
      <c r="A97" s="8"/>
      <c r="B97" s="31">
        <v>70300</v>
      </c>
      <c r="C97" s="31" t="s">
        <v>62</v>
      </c>
      <c r="D97" s="31">
        <f>D98+D99</f>
        <v>2086000000</v>
      </c>
      <c r="E97" s="31">
        <f>E98+E99</f>
        <v>150000000</v>
      </c>
      <c r="F97" s="31">
        <v>0</v>
      </c>
      <c r="G97" s="31">
        <f>G98+G99</f>
        <v>2086000000</v>
      </c>
    </row>
    <row r="98" spans="1:7" s="3" customFormat="1" ht="54.75" customHeight="1" x14ac:dyDescent="0.3">
      <c r="A98" s="8"/>
      <c r="B98" s="36">
        <v>70301</v>
      </c>
      <c r="C98" s="36" t="s">
        <v>63</v>
      </c>
      <c r="D98" s="32">
        <f>1650000000-64000000</f>
        <v>1586000000</v>
      </c>
      <c r="E98" s="32">
        <v>50000000</v>
      </c>
      <c r="F98" s="32">
        <v>0</v>
      </c>
      <c r="G98" s="32">
        <f>1650000000-64000000</f>
        <v>1586000000</v>
      </c>
    </row>
    <row r="99" spans="1:7" ht="52.5" x14ac:dyDescent="0.25">
      <c r="B99" s="36">
        <v>70302</v>
      </c>
      <c r="C99" s="67" t="s">
        <v>109</v>
      </c>
      <c r="D99" s="32">
        <v>500000000</v>
      </c>
      <c r="E99" s="32">
        <v>100000000</v>
      </c>
      <c r="F99" s="32">
        <v>20138900</v>
      </c>
      <c r="G99" s="32">
        <v>500000000</v>
      </c>
    </row>
    <row r="100" spans="1:7" ht="15.75" x14ac:dyDescent="0.25">
      <c r="B100" s="64"/>
      <c r="C100" s="64"/>
      <c r="D100" s="64"/>
      <c r="E100" s="64"/>
      <c r="F100" s="64"/>
      <c r="G100" s="64"/>
    </row>
    <row r="101" spans="1:7" ht="15.75" x14ac:dyDescent="0.25">
      <c r="B101" s="64"/>
      <c r="C101" s="64"/>
      <c r="D101" s="64"/>
      <c r="E101" s="64"/>
      <c r="F101" s="64"/>
      <c r="G101" s="64"/>
    </row>
    <row r="102" spans="1:7" ht="15.75" x14ac:dyDescent="0.25">
      <c r="B102" s="64"/>
      <c r="C102" s="64"/>
      <c r="D102" s="64"/>
      <c r="E102" s="64"/>
      <c r="F102" s="64"/>
      <c r="G102" s="64"/>
    </row>
    <row r="103" spans="1:7" ht="15.75" x14ac:dyDescent="0.25">
      <c r="B103" s="64"/>
      <c r="C103" s="64"/>
      <c r="D103" s="64"/>
      <c r="E103" s="64"/>
      <c r="F103" s="64"/>
      <c r="G103" s="64"/>
    </row>
  </sheetData>
  <mergeCells count="7">
    <mergeCell ref="B1:G2"/>
    <mergeCell ref="B3:B5"/>
    <mergeCell ref="C3:C4"/>
    <mergeCell ref="E3:E4"/>
    <mergeCell ref="G3:G4"/>
    <mergeCell ref="D3:D4"/>
    <mergeCell ref="F3:F4"/>
  </mergeCells>
  <printOptions horizontalCentered="1" verticalCentered="1"/>
  <pageMargins left="0" right="0" top="0" bottom="0" header="0" footer="0"/>
  <pageSetup paperSize="9" scale="5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پرداختی1399</vt:lpstr>
      <vt:lpstr>پیش‌بینی1400</vt:lpstr>
      <vt:lpstr>پرداختی1399!Print_Area</vt:lpstr>
      <vt:lpstr>پیش‌بینی1400!Print_Area</vt:lpstr>
      <vt:lpstr>پرداختی1399!Print_Titles</vt:lpstr>
      <vt:lpstr>پیش‌بینی1400!Print_Titles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مهرداد شریفی</dc:creator>
  <cp:lastModifiedBy>نغمه هاشمی فراهانی</cp:lastModifiedBy>
  <cp:lastPrinted>2021-08-03T10:22:20Z</cp:lastPrinted>
  <dcterms:created xsi:type="dcterms:W3CDTF">2017-11-05T05:20:59Z</dcterms:created>
  <dcterms:modified xsi:type="dcterms:W3CDTF">2021-08-03T10:22:36Z</dcterms:modified>
</cp:coreProperties>
</file>